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Raphael\Desktop\"/>
    </mc:Choice>
  </mc:AlternateContent>
  <bookViews>
    <workbookView xWindow="0" yWindow="0" windowWidth="18480" windowHeight="6195"/>
  </bookViews>
  <sheets>
    <sheet name="Timing" sheetId="1" r:id="rId1"/>
    <sheet name="Conso"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8" i="2" l="1"/>
  <c r="E28" i="2"/>
  <c r="G28" i="2" s="1"/>
  <c r="G31" i="2"/>
  <c r="G33" i="2"/>
  <c r="C45" i="2" l="1"/>
  <c r="K30" i="2"/>
  <c r="K34" i="2" s="1"/>
  <c r="L34" i="2" s="1"/>
  <c r="L35" i="2" s="1"/>
  <c r="K29" i="2"/>
  <c r="AF28" i="1"/>
  <c r="AG24" i="1"/>
  <c r="AB54" i="1" l="1"/>
  <c r="L5" i="1"/>
  <c r="F73" i="1" l="1"/>
  <c r="F74" i="1"/>
  <c r="F75" i="1"/>
  <c r="F76" i="1"/>
  <c r="F77" i="1"/>
  <c r="F78" i="1"/>
  <c r="F79" i="1"/>
  <c r="F80" i="1"/>
  <c r="F81" i="1"/>
  <c r="F82" i="1"/>
  <c r="F72" i="1"/>
  <c r="D72" i="1"/>
  <c r="D81" i="1"/>
  <c r="D82" i="1"/>
  <c r="D80" i="1"/>
  <c r="D79" i="1"/>
  <c r="D73" i="1"/>
  <c r="D74" i="1"/>
  <c r="D75" i="1"/>
  <c r="D76" i="1"/>
  <c r="D77" i="1"/>
  <c r="D78" i="1"/>
  <c r="AE54" i="1"/>
  <c r="AB20" i="1" s="1"/>
  <c r="AG49" i="1" s="1"/>
  <c r="B57" i="1"/>
  <c r="F67" i="1"/>
  <c r="D65" i="1" l="1"/>
  <c r="H11" i="1"/>
  <c r="H10" i="1"/>
  <c r="K10" i="1" s="1"/>
  <c r="AB49" i="1"/>
  <c r="AB50" i="1" s="1"/>
  <c r="AB51" i="1" s="1"/>
  <c r="AB26" i="1"/>
  <c r="AC24" i="1"/>
  <c r="AC14" i="1"/>
  <c r="AC13" i="1"/>
  <c r="AA14" i="1"/>
  <c r="Z10" i="1"/>
  <c r="AA13" i="1"/>
  <c r="K11" i="1"/>
  <c r="G8" i="1"/>
  <c r="F28" i="1"/>
  <c r="F30" i="1" s="1"/>
  <c r="C26" i="1"/>
  <c r="C29" i="1"/>
  <c r="D69" i="1" l="1"/>
  <c r="E35" i="2" s="1"/>
  <c r="I63" i="1"/>
  <c r="I65" i="1" s="1"/>
  <c r="L65" i="1" s="1"/>
  <c r="I15" i="1"/>
  <c r="L15" i="1" s="1"/>
  <c r="I14" i="1"/>
  <c r="L14" i="1" s="1"/>
  <c r="AC28" i="1"/>
  <c r="AI28" i="1" s="1"/>
  <c r="C28" i="1"/>
  <c r="C31" i="1" s="1"/>
  <c r="C33" i="1" s="1"/>
  <c r="E33" i="1" s="1"/>
  <c r="E34" i="1" s="1"/>
  <c r="D39" i="2" l="1"/>
  <c r="D40" i="2" s="1"/>
  <c r="D42" i="2" s="1"/>
  <c r="E44" i="2"/>
  <c r="E46" i="2" s="1"/>
  <c r="E50" i="2" s="1"/>
  <c r="E51" i="2" s="1"/>
  <c r="A39" i="2"/>
  <c r="A40" i="2" s="1"/>
  <c r="A42" i="2" s="1"/>
  <c r="G35" i="2"/>
  <c r="C44" i="2" l="1"/>
  <c r="C46" i="2" s="1"/>
  <c r="C50" i="2" s="1"/>
  <c r="C51" i="2" s="1"/>
  <c r="C52" i="2" s="1"/>
</calcChain>
</file>

<file path=xl/sharedStrings.xml><?xml version="1.0" encoding="utf-8"?>
<sst xmlns="http://schemas.openxmlformats.org/spreadsheetml/2006/main" count="226" uniqueCount="125">
  <si>
    <t>Note de calcul sur la consomation du circuit</t>
  </si>
  <si>
    <t>mAh</t>
  </si>
  <si>
    <t>Consomation :</t>
  </si>
  <si>
    <t>Atmega328</t>
  </si>
  <si>
    <t>mA</t>
  </si>
  <si>
    <t>active</t>
  </si>
  <si>
    <t>ldle</t>
  </si>
  <si>
    <t>Capacité des piles AA</t>
  </si>
  <si>
    <t>cf datasheet p.589-591</t>
  </si>
  <si>
    <t>ADC</t>
  </si>
  <si>
    <t>cf P608</t>
  </si>
  <si>
    <t>cf P609</t>
  </si>
  <si>
    <t>Aref</t>
  </si>
  <si>
    <t>sleep</t>
  </si>
  <si>
    <t>measuring</t>
  </si>
  <si>
    <t>HTU21D</t>
  </si>
  <si>
    <t>LDR</t>
  </si>
  <si>
    <t>Potar</t>
  </si>
  <si>
    <t>conso activité</t>
  </si>
  <si>
    <t>ratio</t>
  </si>
  <si>
    <t>conso activité divisé par ratio</t>
  </si>
  <si>
    <t>conso sleep</t>
  </si>
  <si>
    <t>total</t>
  </si>
  <si>
    <t>autonoie = capacité /conso =</t>
  </si>
  <si>
    <t>h  =&gt;</t>
  </si>
  <si>
    <t>jours</t>
  </si>
  <si>
    <t>3,3V
1Mhz</t>
  </si>
  <si>
    <t>sec par heure</t>
  </si>
  <si>
    <t>sec pour 5 min</t>
  </si>
  <si>
    <t>ans</t>
  </si>
  <si>
    <t>cycle</t>
  </si>
  <si>
    <t>nbr de mesures</t>
  </si>
  <si>
    <t>Freq adc =</t>
  </si>
  <si>
    <t>Hz</t>
  </si>
  <si>
    <t>Periode =</t>
  </si>
  <si>
    <t>ms</t>
  </si>
  <si>
    <t>Temps de conversion =</t>
  </si>
  <si>
    <t>x 2 =</t>
  </si>
  <si>
    <t>(potar + ldr)</t>
  </si>
  <si>
    <t>Timing ADC</t>
  </si>
  <si>
    <t>cycles</t>
  </si>
  <si>
    <t>cycles totaux</t>
  </si>
  <si>
    <t>Vcc</t>
  </si>
  <si>
    <t>v</t>
  </si>
  <si>
    <t>Cb</t>
  </si>
  <si>
    <t>F</t>
  </si>
  <si>
    <r>
      <t xml:space="preserve">Fscl </t>
    </r>
    <r>
      <rPr>
        <sz val="11"/>
        <color theme="1"/>
        <rFont val="Calibri"/>
        <family val="2"/>
      </rPr>
      <t>≥</t>
    </r>
    <r>
      <rPr>
        <sz val="9.35"/>
        <color theme="1"/>
        <rFont val="Calibri"/>
        <family val="2"/>
      </rPr>
      <t xml:space="preserve"> 100 kHz</t>
    </r>
  </si>
  <si>
    <r>
      <t xml:space="preserve">Fscl </t>
    </r>
    <r>
      <rPr>
        <sz val="11"/>
        <color theme="1"/>
        <rFont val="Calibri"/>
        <family val="2"/>
      </rPr>
      <t>≤ 100 kHz</t>
    </r>
  </si>
  <si>
    <t>Ω</t>
  </si>
  <si>
    <t>max</t>
  </si>
  <si>
    <t>min</t>
  </si>
  <si>
    <t>kHz</t>
  </si>
  <si>
    <t>Fscl =</t>
  </si>
  <si>
    <t>Nbr de cycles / mesure =</t>
  </si>
  <si>
    <t>Nbr de mesure</t>
  </si>
  <si>
    <t>(humid/temp)</t>
  </si>
  <si>
    <t>total cycles</t>
  </si>
  <si>
    <t>Temps total =</t>
  </si>
  <si>
    <t>This unit controls the period of SCL when operating in a Master mode. The SCL period is controlled by settings 
in the TWI Bit Rate Register (TWBR) and the Prescaler bits in the TWI Status Register (TWSR). Slave operation 
does not depend on Bit Rate or Prescaler settings, but the CPU clock frequency in the Slave must be at least 16 times higher than the SCL frequency. Note that slaves may prolong the SCL low period, thereby reducing the 
average TWI bus clock period. The SCL frequency is generated according to the following equation:</t>
  </si>
  <si>
    <t>page 211 datasheet</t>
  </si>
  <si>
    <t>cpu freq =</t>
  </si>
  <si>
    <t>scl freq * (16 +2(TWBR)*(Prescaler)</t>
  </si>
  <si>
    <t>Prescaler =</t>
  </si>
  <si>
    <t>TWBR =</t>
  </si>
  <si>
    <t>Mhz</t>
  </si>
  <si>
    <t>Fcpu =</t>
  </si>
  <si>
    <t>USART</t>
  </si>
  <si>
    <t>http://wormfood.net/avrbaudcalc.php?postbitrate=2400&amp;clock_speed_table=1&amp;postclock=0.7296&amp;ubrr8bit=1</t>
  </si>
  <si>
    <t>=&gt;</t>
  </si>
  <si>
    <t>Temp</t>
  </si>
  <si>
    <t>Humidité</t>
  </si>
  <si>
    <t>int</t>
  </si>
  <si>
    <t>Alert bat</t>
  </si>
  <si>
    <t>nbr octet</t>
  </si>
  <si>
    <t>x</t>
  </si>
  <si>
    <t>bits</t>
  </si>
  <si>
    <t>Nbr d'octet par envoie de data</t>
  </si>
  <si>
    <t xml:space="preserve">soit </t>
  </si>
  <si>
    <t>bit/sec</t>
  </si>
  <si>
    <t>soit</t>
  </si>
  <si>
    <t>bit/ms</t>
  </si>
  <si>
    <t>octets</t>
  </si>
  <si>
    <t>Temps d'émission RS232 =</t>
  </si>
  <si>
    <t xml:space="preserve">=&gt;  bits par octet </t>
  </si>
  <si>
    <t>stop</t>
  </si>
  <si>
    <t>start</t>
  </si>
  <si>
    <t>data</t>
  </si>
  <si>
    <t>scl freq =</t>
  </si>
  <si>
    <t>Freq cpu min</t>
  </si>
  <si>
    <t>Datasheet MICRF112 : Data Rate Max 50 kbps</t>
  </si>
  <si>
    <t>cf note 1</t>
  </si>
  <si>
    <t>Bit rate</t>
  </si>
  <si>
    <t>Frequence admissibles pour bit rate 2400</t>
  </si>
  <si>
    <t xml:space="preserve">Note 1 : La frequence du CPU doit etre 16 fois supérieur au Bit Rate =&gt; cf </t>
  </si>
  <si>
    <t>cf mediane / moy</t>
  </si>
  <si>
    <t>Alim Cpu =</t>
  </si>
  <si>
    <t>V</t>
  </si>
  <si>
    <t>Active supply current =</t>
  </si>
  <si>
    <t>Idle supply current =</t>
  </si>
  <si>
    <t>RF 433</t>
  </si>
  <si>
    <t>octet d'adresse</t>
  </si>
  <si>
    <t>octet de data</t>
  </si>
  <si>
    <t>octet de checksum</t>
  </si>
  <si>
    <t>par mesure d'hyd</t>
  </si>
  <si>
    <t>par mesure de temp</t>
  </si>
  <si>
    <t>+</t>
  </si>
  <si>
    <t>(nbr mesure *tps)</t>
  </si>
  <si>
    <t>=</t>
  </si>
  <si>
    <t>Capacity rating of battery (mAh)</t>
  </si>
  <si>
    <t>mAh = milli-Amp-hours</t>
  </si>
  <si>
    <t>Current consumption of device during sleep (mA)</t>
  </si>
  <si>
    <t>mA = milli-Amps</t>
  </si>
  <si>
    <t>Current consumption of device during wake (mA)</t>
  </si>
  <si>
    <t>Number of wakeups per hour</t>
  </si>
  <si>
    <t>If always on, enter 3600 here.</t>
  </si>
  <si>
    <t>Duration of wake time (ms)</t>
  </si>
  <si>
    <t>ms = milli-Seconds. If always on, enter 1000 here.</t>
  </si>
  <si>
    <t>ms pour 5 min</t>
  </si>
  <si>
    <t>ms par heure</t>
  </si>
  <si>
    <t>idle</t>
  </si>
  <si>
    <t>autonomie bat =</t>
  </si>
  <si>
    <t>heures</t>
  </si>
  <si>
    <t>années</t>
  </si>
  <si>
    <t>Pile AA =</t>
  </si>
  <si>
    <t>Temps d'activité / 5min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</si>
</sst>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
    <numFmt numFmtId="166" formatCode="0.0"/>
  </numFmts>
  <fonts count="5" x14ac:knownFonts="1">
    <font>
      <sz val="11"/>
      <color theme="1"/>
      <name val="Calibri"/>
      <family val="2"/>
      <scheme val="minor"/>
    </font>
    <font>
      <b/>
      <sz val="11"/>
      <color theme="1"/>
      <name val="Calibri"/>
      <family val="2"/>
      <scheme val="minor"/>
    </font>
    <font>
      <sz val="11"/>
      <color theme="1"/>
      <name val="Calibri"/>
      <family val="2"/>
    </font>
    <font>
      <sz val="9.35"/>
      <color theme="1"/>
      <name val="Calibri"/>
      <family val="2"/>
    </font>
    <font>
      <u/>
      <sz val="11"/>
      <color theme="1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434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rgb="FF000000"/>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58">
    <xf numFmtId="0" fontId="0" fillId="0" borderId="0" xfId="0"/>
    <xf numFmtId="0" fontId="0" fillId="2" borderId="0" xfId="0" applyFill="1"/>
    <xf numFmtId="0" fontId="0" fillId="3" borderId="0" xfId="0" applyFill="1"/>
    <xf numFmtId="0" fontId="0" fillId="0" borderId="0"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2" fillId="0" borderId="0" xfId="0" applyFont="1" applyBorder="1"/>
    <xf numFmtId="1" fontId="0" fillId="0" borderId="0" xfId="0" applyNumberFormat="1" applyBorder="1"/>
    <xf numFmtId="0" fontId="2" fillId="0" borderId="6" xfId="0" applyFont="1" applyBorder="1"/>
    <xf numFmtId="0" fontId="0" fillId="0" borderId="7" xfId="0" applyBorder="1"/>
    <xf numFmtId="0" fontId="0" fillId="0" borderId="8" xfId="0" applyBorder="1"/>
    <xf numFmtId="1" fontId="0" fillId="0" borderId="8" xfId="0" applyNumberFormat="1" applyBorder="1"/>
    <xf numFmtId="0" fontId="0" fillId="0" borderId="9" xfId="0" applyBorder="1"/>
    <xf numFmtId="0" fontId="0" fillId="0" borderId="10" xfId="0"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0" fillId="0" borderId="1" xfId="0" applyBorder="1"/>
    <xf numFmtId="0" fontId="0" fillId="0" borderId="0" xfId="0" quotePrefix="1"/>
    <xf numFmtId="0" fontId="0" fillId="0" borderId="13" xfId="0" applyBorder="1" applyAlignment="1">
      <alignment vertical="center" wrapText="1"/>
    </xf>
    <xf numFmtId="0" fontId="4" fillId="0" borderId="5" xfId="1" applyBorder="1"/>
    <xf numFmtId="0" fontId="0" fillId="0" borderId="0" xfId="0" quotePrefix="1" applyBorder="1"/>
    <xf numFmtId="164" fontId="0" fillId="0" borderId="0" xfId="0" applyNumberFormat="1"/>
    <xf numFmtId="0" fontId="0" fillId="0" borderId="0" xfId="0" quotePrefix="1" applyBorder="1" applyAlignment="1">
      <alignment horizontal="center"/>
    </xf>
    <xf numFmtId="0" fontId="0" fillId="0" borderId="14" xfId="0" applyBorder="1" applyAlignment="1">
      <alignment vertical="center" wrapText="1"/>
    </xf>
    <xf numFmtId="0" fontId="0" fillId="0" borderId="14" xfId="0" applyBorder="1"/>
    <xf numFmtId="0" fontId="0" fillId="0" borderId="1" xfId="0" applyBorder="1" applyAlignment="1">
      <alignment horizontal="right" vertical="center" wrapText="1"/>
    </xf>
    <xf numFmtId="0" fontId="0" fillId="4" borderId="14" xfId="0" applyFill="1" applyBorder="1"/>
    <xf numFmtId="0" fontId="0" fillId="4" borderId="5" xfId="0" applyFill="1" applyBorder="1"/>
    <xf numFmtId="0" fontId="0" fillId="4" borderId="0" xfId="0" quotePrefix="1" applyFill="1" applyBorder="1" applyAlignment="1">
      <alignment horizontal="center"/>
    </xf>
    <xf numFmtId="0" fontId="0" fillId="4" borderId="0" xfId="0" applyFill="1" applyBorder="1"/>
    <xf numFmtId="0" fontId="0" fillId="4" borderId="6" xfId="0" applyFill="1" applyBorder="1"/>
    <xf numFmtId="0" fontId="0" fillId="4" borderId="15" xfId="0" applyFill="1" applyBorder="1"/>
    <xf numFmtId="0" fontId="0" fillId="4" borderId="7" xfId="0" applyFill="1" applyBorder="1"/>
    <xf numFmtId="0" fontId="0" fillId="4" borderId="8" xfId="0" quotePrefix="1" applyFill="1" applyBorder="1" applyAlignment="1">
      <alignment horizontal="center"/>
    </xf>
    <xf numFmtId="0" fontId="0" fillId="4" borderId="8" xfId="0" applyFill="1" applyBorder="1"/>
    <xf numFmtId="0" fontId="0" fillId="4" borderId="9" xfId="0" applyFill="1" applyBorder="1"/>
    <xf numFmtId="164" fontId="0" fillId="0" borderId="0" xfId="0" applyNumberFormat="1" applyBorder="1"/>
    <xf numFmtId="0" fontId="0" fillId="0" borderId="0" xfId="0" applyFill="1" applyBorder="1"/>
    <xf numFmtId="0" fontId="0" fillId="0" borderId="0" xfId="0" quotePrefix="1" applyFill="1" applyBorder="1"/>
    <xf numFmtId="0" fontId="0" fillId="0" borderId="5" xfId="0" applyBorder="1" applyAlignment="1">
      <alignment horizontal="left" indent="1"/>
    </xf>
    <xf numFmtId="1" fontId="0" fillId="0" borderId="0" xfId="0" applyNumberFormat="1"/>
    <xf numFmtId="0" fontId="0" fillId="0" borderId="5" xfId="0" applyBorder="1" applyAlignment="1">
      <alignment horizontal="center"/>
    </xf>
    <xf numFmtId="0" fontId="0" fillId="0" borderId="0" xfId="0" applyBorder="1" applyAlignment="1">
      <alignment horizontal="center"/>
    </xf>
    <xf numFmtId="0" fontId="0" fillId="0" borderId="6" xfId="0" applyBorder="1" applyAlignment="1">
      <alignment horizontal="center"/>
    </xf>
    <xf numFmtId="0" fontId="0" fillId="0" borderId="0" xfId="0" applyAlignment="1">
      <alignment horizontal="center" vertical="center" wrapText="1"/>
    </xf>
    <xf numFmtId="0" fontId="0" fillId="0" borderId="0" xfId="0" applyAlignment="1">
      <alignment horizontal="center" vertical="center"/>
    </xf>
    <xf numFmtId="0" fontId="1" fillId="0" borderId="5" xfId="0" applyFont="1" applyBorder="1" applyAlignment="1">
      <alignment horizontal="center"/>
    </xf>
    <xf numFmtId="0" fontId="1" fillId="0" borderId="0" xfId="0" applyFont="1" applyBorder="1" applyAlignment="1">
      <alignment horizontal="center"/>
    </xf>
    <xf numFmtId="0" fontId="1" fillId="0" borderId="6" xfId="0" applyFont="1" applyBorder="1" applyAlignment="1">
      <alignment horizontal="center"/>
    </xf>
    <xf numFmtId="0" fontId="0" fillId="0" borderId="0" xfId="0" applyBorder="1" applyAlignment="1">
      <alignment horizontal="left" vertical="top" wrapText="1"/>
    </xf>
    <xf numFmtId="0" fontId="0" fillId="0" borderId="6" xfId="0" applyBorder="1" applyAlignment="1">
      <alignment horizontal="left" vertical="top" wrapText="1"/>
    </xf>
    <xf numFmtId="0" fontId="0" fillId="0" borderId="16"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166" fontId="0" fillId="0" borderId="0" xfId="0" applyNumberFormat="1"/>
  </cellXfs>
  <cellStyles count="2">
    <cellStyle name="Lien hypertexte" xfId="1" builtinId="8"/>
    <cellStyle name="Normal" xfId="0" builtinId="0"/>
  </cellStyles>
  <dxfs count="0"/>
  <tableStyles count="0" defaultTableStyle="TableStyleMedium2" defaultPivotStyle="PivotStyleLight16"/>
  <colors>
    <mruColors>
      <color rgb="FFFF434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2" Type="http://schemas.openxmlformats.org/officeDocument/2006/relationships/image" Target="../media/image13.png"/><Relationship Id="rId1" Type="http://schemas.openxmlformats.org/officeDocument/2006/relationships/image" Target="../media/image12.png"/></Relationships>
</file>

<file path=xl/drawings/drawing1.xml><?xml version="1.0" encoding="utf-8"?>
<xdr:wsDr xmlns:xdr="http://schemas.openxmlformats.org/drawingml/2006/spreadsheetDrawing" xmlns:a="http://schemas.openxmlformats.org/drawingml/2006/main">
  <xdr:twoCellAnchor editAs="oneCell">
    <xdr:from>
      <xdr:col>14</xdr:col>
      <xdr:colOff>212911</xdr:colOff>
      <xdr:row>1</xdr:row>
      <xdr:rowOff>123266</xdr:rowOff>
    </xdr:from>
    <xdr:to>
      <xdr:col>23</xdr:col>
      <xdr:colOff>109002</xdr:colOff>
      <xdr:row>17</xdr:row>
      <xdr:rowOff>40006</xdr:rowOff>
    </xdr:to>
    <xdr:pic>
      <xdr:nvPicPr>
        <xdr:cNvPr id="2" name="Image 1"/>
        <xdr:cNvPicPr>
          <a:picLocks noChangeAspect="1"/>
        </xdr:cNvPicPr>
      </xdr:nvPicPr>
      <xdr:blipFill>
        <a:blip xmlns:r="http://schemas.openxmlformats.org/officeDocument/2006/relationships" r:embed="rId1"/>
        <a:stretch>
          <a:fillRect/>
        </a:stretch>
      </xdr:blipFill>
      <xdr:spPr>
        <a:xfrm>
          <a:off x="11183470" y="324972"/>
          <a:ext cx="6754091" cy="2964740"/>
        </a:xfrm>
        <a:prstGeom prst="rect">
          <a:avLst/>
        </a:prstGeom>
      </xdr:spPr>
    </xdr:pic>
    <xdr:clientData/>
  </xdr:twoCellAnchor>
  <xdr:twoCellAnchor editAs="oneCell">
    <xdr:from>
      <xdr:col>14</xdr:col>
      <xdr:colOff>56029</xdr:colOff>
      <xdr:row>18</xdr:row>
      <xdr:rowOff>35234</xdr:rowOff>
    </xdr:from>
    <xdr:to>
      <xdr:col>25</xdr:col>
      <xdr:colOff>149911</xdr:colOff>
      <xdr:row>33</xdr:row>
      <xdr:rowOff>90307</xdr:rowOff>
    </xdr:to>
    <xdr:pic>
      <xdr:nvPicPr>
        <xdr:cNvPr id="3" name="Image 2"/>
        <xdr:cNvPicPr>
          <a:picLocks noChangeAspect="1"/>
        </xdr:cNvPicPr>
      </xdr:nvPicPr>
      <xdr:blipFill>
        <a:blip xmlns:r="http://schemas.openxmlformats.org/officeDocument/2006/relationships" r:embed="rId2"/>
        <a:stretch>
          <a:fillRect/>
        </a:stretch>
      </xdr:blipFill>
      <xdr:spPr>
        <a:xfrm>
          <a:off x="11026588" y="3486646"/>
          <a:ext cx="8643970" cy="2901367"/>
        </a:xfrm>
        <a:prstGeom prst="rect">
          <a:avLst/>
        </a:prstGeom>
      </xdr:spPr>
    </xdr:pic>
    <xdr:clientData/>
  </xdr:twoCellAnchor>
  <xdr:twoCellAnchor editAs="oneCell">
    <xdr:from>
      <xdr:col>23</xdr:col>
      <xdr:colOff>190501</xdr:colOff>
      <xdr:row>1</xdr:row>
      <xdr:rowOff>44824</xdr:rowOff>
    </xdr:from>
    <xdr:to>
      <xdr:col>35</xdr:col>
      <xdr:colOff>691655</xdr:colOff>
      <xdr:row>7</xdr:row>
      <xdr:rowOff>45749</xdr:rowOff>
    </xdr:to>
    <xdr:pic>
      <xdr:nvPicPr>
        <xdr:cNvPr id="4" name="Image 3"/>
        <xdr:cNvPicPr>
          <a:picLocks noChangeAspect="1"/>
        </xdr:cNvPicPr>
      </xdr:nvPicPr>
      <xdr:blipFill>
        <a:blip xmlns:r="http://schemas.openxmlformats.org/officeDocument/2006/relationships" r:embed="rId3"/>
        <a:stretch>
          <a:fillRect/>
        </a:stretch>
      </xdr:blipFill>
      <xdr:spPr>
        <a:xfrm>
          <a:off x="17850972" y="246530"/>
          <a:ext cx="9813242" cy="1143925"/>
        </a:xfrm>
        <a:prstGeom prst="rect">
          <a:avLst/>
        </a:prstGeom>
      </xdr:spPr>
    </xdr:pic>
    <xdr:clientData/>
  </xdr:twoCellAnchor>
  <xdr:twoCellAnchor editAs="oneCell">
    <xdr:from>
      <xdr:col>26</xdr:col>
      <xdr:colOff>0</xdr:colOff>
      <xdr:row>36</xdr:row>
      <xdr:rowOff>156556</xdr:rowOff>
    </xdr:from>
    <xdr:to>
      <xdr:col>35</xdr:col>
      <xdr:colOff>637425</xdr:colOff>
      <xdr:row>45</xdr:row>
      <xdr:rowOff>131934</xdr:rowOff>
    </xdr:to>
    <xdr:pic>
      <xdr:nvPicPr>
        <xdr:cNvPr id="5" name="Image 4"/>
        <xdr:cNvPicPr>
          <a:picLocks noChangeAspect="1"/>
        </xdr:cNvPicPr>
      </xdr:nvPicPr>
      <xdr:blipFill>
        <a:blip xmlns:r="http://schemas.openxmlformats.org/officeDocument/2006/relationships" r:embed="rId4"/>
        <a:stretch>
          <a:fillRect/>
        </a:stretch>
      </xdr:blipFill>
      <xdr:spPr>
        <a:xfrm>
          <a:off x="20361088" y="7003350"/>
          <a:ext cx="7495425" cy="1689878"/>
        </a:xfrm>
        <a:prstGeom prst="rect">
          <a:avLst/>
        </a:prstGeom>
      </xdr:spPr>
    </xdr:pic>
    <xdr:clientData/>
  </xdr:twoCellAnchor>
  <xdr:twoCellAnchor editAs="oneCell">
    <xdr:from>
      <xdr:col>5</xdr:col>
      <xdr:colOff>16633</xdr:colOff>
      <xdr:row>17</xdr:row>
      <xdr:rowOff>123265</xdr:rowOff>
    </xdr:from>
    <xdr:to>
      <xdr:col>12</xdr:col>
      <xdr:colOff>674382</xdr:colOff>
      <xdr:row>23</xdr:row>
      <xdr:rowOff>167258</xdr:rowOff>
    </xdr:to>
    <xdr:pic>
      <xdr:nvPicPr>
        <xdr:cNvPr id="6" name="Image 5"/>
        <xdr:cNvPicPr>
          <a:picLocks noChangeAspect="1"/>
        </xdr:cNvPicPr>
      </xdr:nvPicPr>
      <xdr:blipFill>
        <a:blip xmlns:r="http://schemas.openxmlformats.org/officeDocument/2006/relationships" r:embed="rId5"/>
        <a:stretch>
          <a:fillRect/>
        </a:stretch>
      </xdr:blipFill>
      <xdr:spPr>
        <a:xfrm>
          <a:off x="4353309" y="3361765"/>
          <a:ext cx="5846073" cy="1186993"/>
        </a:xfrm>
        <a:prstGeom prst="rect">
          <a:avLst/>
        </a:prstGeom>
      </xdr:spPr>
    </xdr:pic>
    <xdr:clientData/>
  </xdr:twoCellAnchor>
  <xdr:twoCellAnchor editAs="oneCell">
    <xdr:from>
      <xdr:col>1</xdr:col>
      <xdr:colOff>257736</xdr:colOff>
      <xdr:row>38</xdr:row>
      <xdr:rowOff>0</xdr:rowOff>
    </xdr:from>
    <xdr:to>
      <xdr:col>12</xdr:col>
      <xdr:colOff>591135</xdr:colOff>
      <xdr:row>42</xdr:row>
      <xdr:rowOff>190381</xdr:rowOff>
    </xdr:to>
    <xdr:pic>
      <xdr:nvPicPr>
        <xdr:cNvPr id="8" name="Image 7"/>
        <xdr:cNvPicPr>
          <a:picLocks noChangeAspect="1"/>
        </xdr:cNvPicPr>
      </xdr:nvPicPr>
      <xdr:blipFill>
        <a:blip xmlns:r="http://schemas.openxmlformats.org/officeDocument/2006/relationships" r:embed="rId6"/>
        <a:stretch>
          <a:fillRect/>
        </a:stretch>
      </xdr:blipFill>
      <xdr:spPr>
        <a:xfrm>
          <a:off x="1344707" y="7227794"/>
          <a:ext cx="8771428" cy="952381"/>
        </a:xfrm>
        <a:prstGeom prst="rect">
          <a:avLst/>
        </a:prstGeom>
      </xdr:spPr>
    </xdr:pic>
    <xdr:clientData/>
  </xdr:twoCellAnchor>
  <xdr:twoCellAnchor editAs="oneCell">
    <xdr:from>
      <xdr:col>17</xdr:col>
      <xdr:colOff>22412</xdr:colOff>
      <xdr:row>37</xdr:row>
      <xdr:rowOff>156129</xdr:rowOff>
    </xdr:from>
    <xdr:to>
      <xdr:col>25</xdr:col>
      <xdr:colOff>288928</xdr:colOff>
      <xdr:row>47</xdr:row>
      <xdr:rowOff>113605</xdr:rowOff>
    </xdr:to>
    <xdr:pic>
      <xdr:nvPicPr>
        <xdr:cNvPr id="7" name="Image 6"/>
        <xdr:cNvPicPr>
          <a:picLocks noChangeAspect="1"/>
        </xdr:cNvPicPr>
      </xdr:nvPicPr>
      <xdr:blipFill>
        <a:blip xmlns:r="http://schemas.openxmlformats.org/officeDocument/2006/relationships" r:embed="rId7"/>
        <a:stretch>
          <a:fillRect/>
        </a:stretch>
      </xdr:blipFill>
      <xdr:spPr>
        <a:xfrm>
          <a:off x="13357412" y="7193423"/>
          <a:ext cx="6530604" cy="1862476"/>
        </a:xfrm>
        <a:prstGeom prst="rect">
          <a:avLst/>
        </a:prstGeom>
      </xdr:spPr>
    </xdr:pic>
    <xdr:clientData/>
  </xdr:twoCellAnchor>
  <xdr:twoCellAnchor editAs="oneCell">
    <xdr:from>
      <xdr:col>7</xdr:col>
      <xdr:colOff>596609</xdr:colOff>
      <xdr:row>25</xdr:row>
      <xdr:rowOff>145675</xdr:rowOff>
    </xdr:from>
    <xdr:to>
      <xdr:col>13</xdr:col>
      <xdr:colOff>155692</xdr:colOff>
      <xdr:row>34</xdr:row>
      <xdr:rowOff>16888</xdr:rowOff>
    </xdr:to>
    <xdr:pic>
      <xdr:nvPicPr>
        <xdr:cNvPr id="9" name="Image 8"/>
        <xdr:cNvPicPr>
          <a:picLocks noChangeAspect="1"/>
        </xdr:cNvPicPr>
      </xdr:nvPicPr>
      <xdr:blipFill>
        <a:blip xmlns:r="http://schemas.openxmlformats.org/officeDocument/2006/relationships" r:embed="rId8"/>
        <a:stretch>
          <a:fillRect/>
        </a:stretch>
      </xdr:blipFill>
      <xdr:spPr>
        <a:xfrm>
          <a:off x="6535727" y="4908175"/>
          <a:ext cx="3906965" cy="1574507"/>
        </a:xfrm>
        <a:prstGeom prst="rect">
          <a:avLst/>
        </a:prstGeom>
      </xdr:spPr>
    </xdr:pic>
    <xdr:clientData/>
  </xdr:twoCellAnchor>
  <xdr:twoCellAnchor editAs="oneCell">
    <xdr:from>
      <xdr:col>7</xdr:col>
      <xdr:colOff>319844</xdr:colOff>
      <xdr:row>69</xdr:row>
      <xdr:rowOff>56030</xdr:rowOff>
    </xdr:from>
    <xdr:to>
      <xdr:col>14</xdr:col>
      <xdr:colOff>43943</xdr:colOff>
      <xdr:row>77</xdr:row>
      <xdr:rowOff>73678</xdr:rowOff>
    </xdr:to>
    <xdr:pic>
      <xdr:nvPicPr>
        <xdr:cNvPr id="10" name="Image 9"/>
        <xdr:cNvPicPr>
          <a:picLocks noChangeAspect="1"/>
        </xdr:cNvPicPr>
      </xdr:nvPicPr>
      <xdr:blipFill>
        <a:blip xmlns:r="http://schemas.openxmlformats.org/officeDocument/2006/relationships" r:embed="rId9"/>
        <a:stretch>
          <a:fillRect/>
        </a:stretch>
      </xdr:blipFill>
      <xdr:spPr>
        <a:xfrm>
          <a:off x="6258962" y="13189324"/>
          <a:ext cx="4833981" cy="1541648"/>
        </a:xfrm>
        <a:prstGeom prst="rect">
          <a:avLst/>
        </a:prstGeom>
      </xdr:spPr>
    </xdr:pic>
    <xdr:clientData/>
  </xdr:twoCellAnchor>
  <xdr:twoCellAnchor editAs="oneCell">
    <xdr:from>
      <xdr:col>31</xdr:col>
      <xdr:colOff>59135</xdr:colOff>
      <xdr:row>8</xdr:row>
      <xdr:rowOff>33618</xdr:rowOff>
    </xdr:from>
    <xdr:to>
      <xdr:col>41</xdr:col>
      <xdr:colOff>239060</xdr:colOff>
      <xdr:row>13</xdr:row>
      <xdr:rowOff>5448</xdr:rowOff>
    </xdr:to>
    <xdr:pic>
      <xdr:nvPicPr>
        <xdr:cNvPr id="11" name="Image 10"/>
        <xdr:cNvPicPr>
          <a:picLocks noChangeAspect="1"/>
        </xdr:cNvPicPr>
      </xdr:nvPicPr>
      <xdr:blipFill>
        <a:blip xmlns:r="http://schemas.openxmlformats.org/officeDocument/2006/relationships" r:embed="rId10"/>
        <a:stretch>
          <a:fillRect/>
        </a:stretch>
      </xdr:blipFill>
      <xdr:spPr>
        <a:xfrm>
          <a:off x="24230223" y="1557618"/>
          <a:ext cx="7799925" cy="924330"/>
        </a:xfrm>
        <a:prstGeom prst="rect">
          <a:avLst/>
        </a:prstGeom>
      </xdr:spPr>
    </xdr:pic>
    <xdr:clientData/>
  </xdr:twoCellAnchor>
  <xdr:twoCellAnchor editAs="oneCell">
    <xdr:from>
      <xdr:col>31</xdr:col>
      <xdr:colOff>67235</xdr:colOff>
      <xdr:row>13</xdr:row>
      <xdr:rowOff>54510</xdr:rowOff>
    </xdr:from>
    <xdr:to>
      <xdr:col>41</xdr:col>
      <xdr:colOff>347382</xdr:colOff>
      <xdr:row>18</xdr:row>
      <xdr:rowOff>53488</xdr:rowOff>
    </xdr:to>
    <xdr:pic>
      <xdr:nvPicPr>
        <xdr:cNvPr id="12" name="Image 11"/>
        <xdr:cNvPicPr>
          <a:picLocks noChangeAspect="1"/>
        </xdr:cNvPicPr>
      </xdr:nvPicPr>
      <xdr:blipFill>
        <a:blip xmlns:r="http://schemas.openxmlformats.org/officeDocument/2006/relationships" r:embed="rId11"/>
        <a:stretch>
          <a:fillRect/>
        </a:stretch>
      </xdr:blipFill>
      <xdr:spPr>
        <a:xfrm>
          <a:off x="24238323" y="2531010"/>
          <a:ext cx="7900147" cy="9514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343033</xdr:colOff>
      <xdr:row>1</xdr:row>
      <xdr:rowOff>171449</xdr:rowOff>
    </xdr:from>
    <xdr:to>
      <xdr:col>9</xdr:col>
      <xdr:colOff>180975</xdr:colOff>
      <xdr:row>18</xdr:row>
      <xdr:rowOff>19056</xdr:rowOff>
    </xdr:to>
    <xdr:pic>
      <xdr:nvPicPr>
        <xdr:cNvPr id="2" name="Image 1"/>
        <xdr:cNvPicPr>
          <a:picLocks noChangeAspect="1"/>
        </xdr:cNvPicPr>
      </xdr:nvPicPr>
      <xdr:blipFill>
        <a:blip xmlns:r="http://schemas.openxmlformats.org/officeDocument/2006/relationships" r:embed="rId1"/>
        <a:stretch>
          <a:fillRect/>
        </a:stretch>
      </xdr:blipFill>
      <xdr:spPr>
        <a:xfrm>
          <a:off x="343033" y="361949"/>
          <a:ext cx="6772142" cy="3086107"/>
        </a:xfrm>
        <a:prstGeom prst="rect">
          <a:avLst/>
        </a:prstGeom>
      </xdr:spPr>
    </xdr:pic>
    <xdr:clientData/>
  </xdr:twoCellAnchor>
  <xdr:twoCellAnchor editAs="oneCell">
    <xdr:from>
      <xdr:col>10</xdr:col>
      <xdr:colOff>523874</xdr:colOff>
      <xdr:row>1</xdr:row>
      <xdr:rowOff>173526</xdr:rowOff>
    </xdr:from>
    <xdr:to>
      <xdr:col>15</xdr:col>
      <xdr:colOff>436937</xdr:colOff>
      <xdr:row>18</xdr:row>
      <xdr:rowOff>85076</xdr:rowOff>
    </xdr:to>
    <xdr:pic>
      <xdr:nvPicPr>
        <xdr:cNvPr id="3" name="Image 2"/>
        <xdr:cNvPicPr>
          <a:picLocks noChangeAspect="1"/>
        </xdr:cNvPicPr>
      </xdr:nvPicPr>
      <xdr:blipFill>
        <a:blip xmlns:r="http://schemas.openxmlformats.org/officeDocument/2006/relationships" r:embed="rId2"/>
        <a:stretch>
          <a:fillRect/>
        </a:stretch>
      </xdr:blipFill>
      <xdr:spPr>
        <a:xfrm>
          <a:off x="6619874" y="364026"/>
          <a:ext cx="5894763" cy="31500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ormfood.net/avrbaudcalc.php?postbitrate=2400&amp;clock_speed_table=1&amp;postclock=0.7296&amp;ubrr8bit=1"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85"/>
  <sheetViews>
    <sheetView tabSelected="1" topLeftCell="A10" zoomScale="85" zoomScaleNormal="85" workbookViewId="0">
      <selection activeCell="C28" sqref="C28"/>
    </sheetView>
  </sheetViews>
  <sheetFormatPr baseColWidth="10" defaultRowHeight="15" x14ac:dyDescent="0.25"/>
  <cols>
    <col min="1" max="1" width="16.28515625" customWidth="1"/>
    <col min="2" max="2" width="14.42578125" customWidth="1"/>
    <col min="7" max="7" width="12.5703125" customWidth="1"/>
    <col min="9" max="9" width="8" customWidth="1"/>
    <col min="11" max="11" width="11.42578125" customWidth="1"/>
    <col min="25" max="25" width="14" customWidth="1"/>
  </cols>
  <sheetData>
    <row r="1" spans="1:36" x14ac:dyDescent="0.25">
      <c r="A1" t="s">
        <v>0</v>
      </c>
    </row>
    <row r="2" spans="1:36" x14ac:dyDescent="0.25">
      <c r="F2" s="4"/>
      <c r="G2" s="5"/>
      <c r="H2" s="5"/>
      <c r="I2" s="5"/>
      <c r="J2" s="5"/>
      <c r="K2" s="5"/>
      <c r="L2" s="5"/>
      <c r="M2" s="6"/>
      <c r="O2" s="4"/>
      <c r="P2" s="5"/>
      <c r="Q2" s="5"/>
      <c r="R2" s="5"/>
      <c r="S2" s="5"/>
      <c r="T2" s="5"/>
      <c r="U2" s="5"/>
      <c r="V2" s="5"/>
      <c r="W2" s="5"/>
      <c r="X2" s="5"/>
      <c r="Y2" s="5"/>
      <c r="Z2" s="5"/>
      <c r="AA2" s="5"/>
      <c r="AB2" s="5"/>
      <c r="AC2" s="5"/>
      <c r="AD2" s="5"/>
      <c r="AE2" s="5"/>
      <c r="AF2" s="5"/>
      <c r="AG2" s="5"/>
      <c r="AH2" s="5"/>
      <c r="AI2" s="5"/>
      <c r="AJ2" s="6"/>
    </row>
    <row r="3" spans="1:36" x14ac:dyDescent="0.25">
      <c r="A3" t="s">
        <v>7</v>
      </c>
      <c r="F3" s="49" t="s">
        <v>39</v>
      </c>
      <c r="G3" s="50"/>
      <c r="H3" s="50"/>
      <c r="I3" s="50"/>
      <c r="J3" s="50"/>
      <c r="K3" s="50"/>
      <c r="L3" s="50"/>
      <c r="M3" s="51"/>
      <c r="O3" s="7"/>
      <c r="P3" s="3"/>
      <c r="Q3" s="3"/>
      <c r="R3" s="3"/>
      <c r="S3" s="3"/>
      <c r="T3" s="3"/>
      <c r="U3" s="3"/>
      <c r="V3" s="3"/>
      <c r="W3" s="3"/>
      <c r="X3" s="3"/>
      <c r="Y3" s="3"/>
      <c r="Z3" s="3"/>
      <c r="AA3" s="3"/>
      <c r="AB3" s="3"/>
      <c r="AC3" s="3"/>
      <c r="AD3" s="3"/>
      <c r="AE3" s="3"/>
      <c r="AF3" s="3"/>
      <c r="AG3" s="3"/>
      <c r="AH3" s="3"/>
      <c r="AI3" s="3"/>
      <c r="AJ3" s="8"/>
    </row>
    <row r="4" spans="1:36" x14ac:dyDescent="0.25">
      <c r="F4" s="7"/>
      <c r="G4" s="3"/>
      <c r="H4" s="3"/>
      <c r="I4" s="3"/>
      <c r="J4" s="3"/>
      <c r="K4" s="3"/>
      <c r="L4" s="3"/>
      <c r="M4" s="8"/>
      <c r="O4" s="7"/>
      <c r="P4" s="3"/>
      <c r="Q4" s="3"/>
      <c r="R4" s="3"/>
      <c r="S4" s="3"/>
      <c r="T4" s="3"/>
      <c r="U4" s="3"/>
      <c r="V4" s="3"/>
      <c r="W4" s="3"/>
      <c r="X4" s="3"/>
      <c r="Y4" s="3"/>
      <c r="Z4" s="3"/>
      <c r="AA4" s="3"/>
      <c r="AB4" s="3"/>
      <c r="AC4" s="3"/>
      <c r="AD4" s="3"/>
      <c r="AE4" s="3"/>
      <c r="AF4" s="3"/>
      <c r="AG4" s="3"/>
      <c r="AH4" s="3"/>
      <c r="AI4" s="3"/>
      <c r="AJ4" s="8"/>
    </row>
    <row r="5" spans="1:36" x14ac:dyDescent="0.25">
      <c r="A5">
        <v>2700</v>
      </c>
      <c r="B5" t="s">
        <v>1</v>
      </c>
      <c r="F5" s="7"/>
      <c r="G5" s="3">
        <v>25</v>
      </c>
      <c r="H5" s="3" t="s">
        <v>40</v>
      </c>
      <c r="I5" s="3"/>
      <c r="J5" s="3"/>
      <c r="K5" s="3" t="s">
        <v>65</v>
      </c>
      <c r="L5" s="3">
        <f>+Conso!C21</f>
        <v>921.6</v>
      </c>
      <c r="M5" s="8" t="s">
        <v>51</v>
      </c>
      <c r="O5" s="7"/>
      <c r="P5" s="3"/>
      <c r="Q5" s="3"/>
      <c r="R5" s="3"/>
      <c r="S5" s="3"/>
      <c r="T5" s="3"/>
      <c r="U5" s="3"/>
      <c r="V5" s="3"/>
      <c r="W5" s="3"/>
      <c r="X5" s="3"/>
      <c r="Y5" s="3"/>
      <c r="Z5" s="3"/>
      <c r="AA5" s="3"/>
      <c r="AB5" s="3"/>
      <c r="AC5" s="3"/>
      <c r="AD5" s="3"/>
      <c r="AE5" s="3"/>
      <c r="AF5" s="3"/>
      <c r="AG5" s="3"/>
      <c r="AH5" s="3"/>
      <c r="AI5" s="3"/>
      <c r="AJ5" s="8"/>
    </row>
    <row r="6" spans="1:36" x14ac:dyDescent="0.25">
      <c r="A6">
        <v>1200</v>
      </c>
      <c r="B6" t="s">
        <v>1</v>
      </c>
      <c r="F6" s="7"/>
      <c r="G6" s="3">
        <v>13</v>
      </c>
      <c r="H6" s="3" t="s">
        <v>40</v>
      </c>
      <c r="I6" s="3"/>
      <c r="J6" s="3"/>
      <c r="K6" s="3" t="s">
        <v>62</v>
      </c>
      <c r="L6" s="3">
        <v>8</v>
      </c>
      <c r="M6" s="8"/>
      <c r="O6" s="7"/>
      <c r="P6" s="3"/>
      <c r="Q6" s="3"/>
      <c r="R6" s="3"/>
      <c r="S6" s="3"/>
      <c r="T6" s="3"/>
      <c r="U6" s="3"/>
      <c r="V6" s="3"/>
      <c r="W6" s="3"/>
      <c r="X6" s="3"/>
      <c r="Y6" s="3"/>
      <c r="Z6" s="3"/>
      <c r="AA6" s="3"/>
      <c r="AB6" s="3"/>
      <c r="AC6" s="3"/>
      <c r="AD6" s="3"/>
      <c r="AE6" s="3"/>
      <c r="AF6" s="3"/>
      <c r="AG6" s="3"/>
      <c r="AH6" s="3"/>
      <c r="AI6" s="3"/>
      <c r="AJ6" s="8"/>
    </row>
    <row r="7" spans="1:36" x14ac:dyDescent="0.25">
      <c r="F7" s="7" t="s">
        <v>94</v>
      </c>
      <c r="G7" s="3">
        <v>10</v>
      </c>
      <c r="H7" s="3" t="s">
        <v>31</v>
      </c>
      <c r="I7" s="3"/>
      <c r="J7" s="3"/>
      <c r="K7" s="3" t="s">
        <v>62</v>
      </c>
      <c r="L7" s="3">
        <v>4</v>
      </c>
      <c r="M7" s="8"/>
      <c r="O7" s="7"/>
      <c r="P7" s="3"/>
      <c r="Q7" s="3"/>
      <c r="R7" s="3"/>
      <c r="S7" s="3"/>
      <c r="T7" s="3"/>
      <c r="U7" s="3"/>
      <c r="V7" s="3"/>
      <c r="W7" s="3"/>
      <c r="X7" s="3"/>
      <c r="Y7" s="3"/>
      <c r="Z7" s="3"/>
      <c r="AA7" s="3"/>
      <c r="AB7" s="3"/>
      <c r="AC7" s="3"/>
      <c r="AD7" s="3"/>
      <c r="AE7" s="3"/>
      <c r="AF7" s="3"/>
      <c r="AG7" s="3"/>
      <c r="AH7" s="3"/>
      <c r="AI7" s="3"/>
      <c r="AJ7" s="8"/>
    </row>
    <row r="8" spans="1:36" x14ac:dyDescent="0.25">
      <c r="F8" s="7"/>
      <c r="G8" s="3">
        <f>+G5+G6*(G7-1)</f>
        <v>142</v>
      </c>
      <c r="H8" s="3" t="s">
        <v>41</v>
      </c>
      <c r="I8" s="3"/>
      <c r="J8" s="3"/>
      <c r="K8" s="3"/>
      <c r="L8" s="3"/>
      <c r="M8" s="8"/>
      <c r="O8" s="7"/>
      <c r="P8" s="3"/>
      <c r="Q8" s="3"/>
      <c r="R8" s="3"/>
      <c r="S8" s="3"/>
      <c r="T8" s="3"/>
      <c r="U8" s="3"/>
      <c r="V8" s="3"/>
      <c r="W8" s="3"/>
      <c r="X8" s="3"/>
      <c r="Y8" s="3"/>
      <c r="Z8" s="3"/>
      <c r="AA8" s="3"/>
      <c r="AB8" s="3"/>
      <c r="AC8" s="3"/>
      <c r="AD8" s="3"/>
      <c r="AE8" s="3"/>
      <c r="AF8" s="3"/>
      <c r="AG8" s="3"/>
      <c r="AH8" s="3"/>
      <c r="AI8" s="3"/>
      <c r="AJ8" s="8"/>
    </row>
    <row r="9" spans="1:36" x14ac:dyDescent="0.25">
      <c r="A9" t="s">
        <v>2</v>
      </c>
      <c r="F9" s="7"/>
      <c r="G9" s="3"/>
      <c r="H9" s="3"/>
      <c r="I9" s="3"/>
      <c r="J9" s="3"/>
      <c r="K9" s="3"/>
      <c r="L9" s="3"/>
      <c r="M9" s="8"/>
      <c r="O9" s="7"/>
      <c r="P9" s="3"/>
      <c r="Q9" s="3"/>
      <c r="R9" s="3"/>
      <c r="S9" s="3"/>
      <c r="T9" s="3"/>
      <c r="U9" s="3"/>
      <c r="V9" s="3"/>
      <c r="W9" s="3"/>
      <c r="X9" s="3"/>
      <c r="Y9" s="4" t="s">
        <v>42</v>
      </c>
      <c r="Z9" s="5">
        <v>3.3</v>
      </c>
      <c r="AA9" s="5" t="s">
        <v>43</v>
      </c>
      <c r="AB9" s="5"/>
      <c r="AC9" s="5"/>
      <c r="AD9" s="6"/>
      <c r="AE9" s="3"/>
      <c r="AF9" s="3"/>
      <c r="AG9" s="3"/>
      <c r="AH9" s="3"/>
      <c r="AI9" s="3"/>
      <c r="AJ9" s="8"/>
    </row>
    <row r="10" spans="1:36" x14ac:dyDescent="0.25">
      <c r="F10" s="7">
        <v>1</v>
      </c>
      <c r="G10" s="3" t="s">
        <v>32</v>
      </c>
      <c r="H10" s="3">
        <f>+L5/L6</f>
        <v>115.2</v>
      </c>
      <c r="I10" s="3" t="s">
        <v>51</v>
      </c>
      <c r="J10" s="3" t="s">
        <v>34</v>
      </c>
      <c r="K10" s="3">
        <f>1/H10</f>
        <v>8.6805555555555559E-3</v>
      </c>
      <c r="L10" s="3" t="s">
        <v>35</v>
      </c>
      <c r="M10" s="8"/>
      <c r="O10" s="7"/>
      <c r="P10" s="3"/>
      <c r="Q10" s="3"/>
      <c r="R10" s="3"/>
      <c r="S10" s="3"/>
      <c r="T10" s="3"/>
      <c r="U10" s="3"/>
      <c r="V10" s="3"/>
      <c r="W10" s="3"/>
      <c r="X10" s="3"/>
      <c r="Y10" s="7" t="s">
        <v>44</v>
      </c>
      <c r="Z10" s="3">
        <f>500*10^-12</f>
        <v>5.0000000000000003E-10</v>
      </c>
      <c r="AA10" s="3" t="s">
        <v>45</v>
      </c>
      <c r="AB10" s="3"/>
      <c r="AC10" s="3"/>
      <c r="AD10" s="8"/>
      <c r="AE10" s="3"/>
      <c r="AF10" s="3"/>
      <c r="AG10" s="3"/>
      <c r="AH10" s="3"/>
      <c r="AI10" s="3"/>
      <c r="AJ10" s="8"/>
    </row>
    <row r="11" spans="1:36" x14ac:dyDescent="0.25">
      <c r="F11" s="7">
        <v>2</v>
      </c>
      <c r="G11" s="3" t="s">
        <v>32</v>
      </c>
      <c r="H11" s="3">
        <f>+L5/L7</f>
        <v>230.4</v>
      </c>
      <c r="I11" s="3" t="s">
        <v>51</v>
      </c>
      <c r="J11" s="3" t="s">
        <v>34</v>
      </c>
      <c r="K11" s="3">
        <f>1/H11</f>
        <v>4.340277777777778E-3</v>
      </c>
      <c r="L11" s="3" t="s">
        <v>35</v>
      </c>
      <c r="M11" s="8"/>
      <c r="O11" s="7"/>
      <c r="P11" s="3"/>
      <c r="Q11" s="3"/>
      <c r="R11" s="3"/>
      <c r="S11" s="3"/>
      <c r="T11" s="3"/>
      <c r="U11" s="3"/>
      <c r="V11" s="3"/>
      <c r="W11" s="3"/>
      <c r="X11" s="3"/>
      <c r="Y11" s="7"/>
      <c r="Z11" s="3"/>
      <c r="AA11" s="3"/>
      <c r="AB11" s="3"/>
      <c r="AC11" s="3"/>
      <c r="AD11" s="8"/>
      <c r="AE11" s="3"/>
      <c r="AF11" s="3"/>
      <c r="AG11" s="3"/>
      <c r="AH11" s="3"/>
      <c r="AI11" s="3"/>
      <c r="AJ11" s="8"/>
    </row>
    <row r="12" spans="1:36" x14ac:dyDescent="0.25">
      <c r="F12" s="7"/>
      <c r="G12" s="3"/>
      <c r="H12" s="3"/>
      <c r="I12" s="3"/>
      <c r="J12" s="3"/>
      <c r="K12" s="3"/>
      <c r="L12" s="3"/>
      <c r="M12" s="8"/>
      <c r="O12" s="7"/>
      <c r="P12" s="3"/>
      <c r="Q12" s="3"/>
      <c r="R12" s="3"/>
      <c r="S12" s="3"/>
      <c r="T12" s="3"/>
      <c r="U12" s="3"/>
      <c r="V12" s="3"/>
      <c r="W12" s="3"/>
      <c r="X12" s="3"/>
      <c r="Y12" s="7"/>
      <c r="Z12" s="3"/>
      <c r="AA12" s="3" t="s">
        <v>49</v>
      </c>
      <c r="AB12" s="3"/>
      <c r="AC12" s="3" t="s">
        <v>50</v>
      </c>
      <c r="AD12" s="8"/>
      <c r="AE12" s="3"/>
      <c r="AF12" s="3"/>
      <c r="AG12" s="3"/>
      <c r="AH12" s="3"/>
      <c r="AI12" s="3"/>
      <c r="AJ12" s="8"/>
    </row>
    <row r="13" spans="1:36" x14ac:dyDescent="0.25">
      <c r="A13" t="s">
        <v>3</v>
      </c>
      <c r="B13" t="s">
        <v>8</v>
      </c>
      <c r="F13" s="7"/>
      <c r="G13" s="3"/>
      <c r="H13" s="3"/>
      <c r="I13" s="3"/>
      <c r="J13" s="3"/>
      <c r="K13" s="3"/>
      <c r="L13" s="3"/>
      <c r="M13" s="8"/>
      <c r="O13" s="7"/>
      <c r="P13" s="3"/>
      <c r="Q13" s="3"/>
      <c r="R13" s="3"/>
      <c r="S13" s="3"/>
      <c r="T13" s="3"/>
      <c r="U13" s="3"/>
      <c r="V13" s="3"/>
      <c r="W13" s="3"/>
      <c r="X13" s="3"/>
      <c r="Y13" s="7" t="s">
        <v>47</v>
      </c>
      <c r="Z13" s="3"/>
      <c r="AA13" s="3">
        <f>+(1000*10^-9)/Z10</f>
        <v>2000.0000000000002</v>
      </c>
      <c r="AB13" s="9" t="s">
        <v>48</v>
      </c>
      <c r="AC13" s="10">
        <f>+(3.3-0.4)/(3*10^-3)</f>
        <v>966.66666666666663</v>
      </c>
      <c r="AD13" s="11" t="s">
        <v>48</v>
      </c>
      <c r="AE13" s="3"/>
      <c r="AF13" s="3"/>
      <c r="AG13" s="3"/>
      <c r="AH13" s="3"/>
      <c r="AI13" s="3"/>
      <c r="AJ13" s="8"/>
    </row>
    <row r="14" spans="1:36" x14ac:dyDescent="0.25">
      <c r="A14" s="47" t="s">
        <v>26</v>
      </c>
      <c r="B14" t="s">
        <v>5</v>
      </c>
      <c r="C14" s="1">
        <v>0.6</v>
      </c>
      <c r="D14" t="s">
        <v>4</v>
      </c>
      <c r="F14" s="7">
        <v>1</v>
      </c>
      <c r="G14" s="3" t="s">
        <v>36</v>
      </c>
      <c r="H14" s="3"/>
      <c r="I14" s="3">
        <f>+K10*G8</f>
        <v>1.2326388888888888</v>
      </c>
      <c r="J14" s="3" t="s">
        <v>35</v>
      </c>
      <c r="K14" s="3" t="s">
        <v>37</v>
      </c>
      <c r="L14" s="3">
        <f>+I14*2</f>
        <v>2.4652777777777777</v>
      </c>
      <c r="M14" s="8" t="s">
        <v>35</v>
      </c>
      <c r="O14" s="7"/>
      <c r="P14" s="3"/>
      <c r="Q14" s="3"/>
      <c r="R14" s="3"/>
      <c r="S14" s="3"/>
      <c r="T14" s="3"/>
      <c r="U14" s="3"/>
      <c r="V14" s="3"/>
      <c r="W14" s="3"/>
      <c r="X14" s="3"/>
      <c r="Y14" s="12" t="s">
        <v>46</v>
      </c>
      <c r="Z14" s="13"/>
      <c r="AA14" s="13">
        <f>+(300*10^-9)/Z10</f>
        <v>600</v>
      </c>
      <c r="AB14" s="13" t="s">
        <v>48</v>
      </c>
      <c r="AC14" s="14">
        <f>+(3.3-0.4)/(3*10^-3)</f>
        <v>966.66666666666663</v>
      </c>
      <c r="AD14" s="15" t="s">
        <v>48</v>
      </c>
      <c r="AE14" s="3"/>
      <c r="AF14" s="3"/>
      <c r="AG14" s="3"/>
      <c r="AH14" s="3"/>
      <c r="AI14" s="3"/>
      <c r="AJ14" s="8"/>
    </row>
    <row r="15" spans="1:36" x14ac:dyDescent="0.25">
      <c r="A15" s="48"/>
      <c r="B15" t="s">
        <v>6</v>
      </c>
      <c r="C15">
        <v>0.1</v>
      </c>
      <c r="D15" t="s">
        <v>4</v>
      </c>
      <c r="F15" s="7">
        <v>2</v>
      </c>
      <c r="G15" s="3" t="s">
        <v>36</v>
      </c>
      <c r="H15" s="3"/>
      <c r="I15" s="3">
        <f>+G8*K11</f>
        <v>0.61631944444444442</v>
      </c>
      <c r="J15" s="3" t="s">
        <v>35</v>
      </c>
      <c r="K15" s="3" t="s">
        <v>37</v>
      </c>
      <c r="L15" s="3">
        <f>+I15*2</f>
        <v>1.2326388888888888</v>
      </c>
      <c r="M15" s="8" t="s">
        <v>35</v>
      </c>
      <c r="O15" s="7"/>
      <c r="P15" s="3"/>
      <c r="Q15" s="3"/>
      <c r="R15" s="3"/>
      <c r="S15" s="3"/>
      <c r="T15" s="3"/>
      <c r="U15" s="3"/>
      <c r="V15" s="3"/>
      <c r="W15" s="3"/>
      <c r="X15" s="3"/>
      <c r="Y15" s="3"/>
      <c r="Z15" s="3"/>
      <c r="AA15" s="3"/>
      <c r="AB15" s="3"/>
      <c r="AC15" s="3"/>
      <c r="AD15" s="3"/>
      <c r="AE15" s="3"/>
      <c r="AF15" s="3"/>
      <c r="AG15" s="3"/>
      <c r="AH15" s="3"/>
      <c r="AI15" s="3"/>
      <c r="AJ15" s="8"/>
    </row>
    <row r="16" spans="1:36" x14ac:dyDescent="0.25">
      <c r="B16" t="s">
        <v>9</v>
      </c>
      <c r="C16" s="1">
        <v>0.09</v>
      </c>
      <c r="D16" t="s">
        <v>4</v>
      </c>
      <c r="E16" t="s">
        <v>10</v>
      </c>
      <c r="F16" s="7"/>
      <c r="G16" s="3"/>
      <c r="H16" s="3"/>
      <c r="I16" s="3"/>
      <c r="J16" s="3"/>
      <c r="K16" s="3" t="s">
        <v>38</v>
      </c>
      <c r="L16" s="3"/>
      <c r="M16" s="8"/>
      <c r="O16" s="7"/>
      <c r="P16" s="3"/>
      <c r="Q16" s="3"/>
      <c r="R16" s="3"/>
      <c r="S16" s="3"/>
      <c r="T16" s="3"/>
      <c r="U16" s="3"/>
      <c r="V16" s="3"/>
      <c r="W16" s="3"/>
      <c r="X16" s="3"/>
      <c r="Y16" s="3"/>
      <c r="Z16" s="3"/>
      <c r="AA16" s="3"/>
      <c r="AB16" s="3"/>
      <c r="AC16" s="3"/>
      <c r="AD16" s="3"/>
      <c r="AE16" s="3"/>
      <c r="AF16" s="3"/>
      <c r="AG16" s="3"/>
      <c r="AH16" s="3"/>
      <c r="AI16" s="3"/>
      <c r="AJ16" s="8"/>
    </row>
    <row r="17" spans="1:36" x14ac:dyDescent="0.25">
      <c r="B17" t="s">
        <v>12</v>
      </c>
      <c r="C17" s="1">
        <v>0.1</v>
      </c>
      <c r="D17" t="s">
        <v>4</v>
      </c>
      <c r="E17" t="s">
        <v>11</v>
      </c>
      <c r="F17" s="7"/>
      <c r="G17" s="3"/>
      <c r="H17" s="3"/>
      <c r="I17" s="3"/>
      <c r="J17" s="3"/>
      <c r="K17" s="3"/>
      <c r="L17" s="3"/>
      <c r="M17" s="8"/>
      <c r="O17" s="7"/>
      <c r="P17" s="3"/>
      <c r="Q17" s="3"/>
      <c r="R17" s="3"/>
      <c r="S17" s="3"/>
      <c r="T17" s="3"/>
      <c r="U17" s="3"/>
      <c r="V17" s="3"/>
      <c r="W17" s="3"/>
      <c r="X17" s="3"/>
      <c r="Y17" s="3"/>
      <c r="Z17" s="3"/>
      <c r="AA17" s="3"/>
      <c r="AB17" s="3"/>
      <c r="AC17" s="3"/>
      <c r="AD17" s="3"/>
      <c r="AE17" s="3"/>
      <c r="AF17" s="3"/>
      <c r="AG17" s="3"/>
      <c r="AH17" s="3"/>
      <c r="AI17" s="3"/>
      <c r="AJ17" s="8"/>
    </row>
    <row r="18" spans="1:36" x14ac:dyDescent="0.25">
      <c r="F18" s="7"/>
      <c r="G18" s="3"/>
      <c r="H18" s="3"/>
      <c r="I18" s="3"/>
      <c r="J18" s="3"/>
      <c r="K18" s="3"/>
      <c r="L18" s="3"/>
      <c r="M18" s="8"/>
      <c r="O18" s="7"/>
      <c r="P18" s="3"/>
      <c r="Q18" s="3"/>
      <c r="R18" s="3"/>
      <c r="S18" s="3"/>
      <c r="T18" s="3"/>
      <c r="U18" s="3"/>
      <c r="V18" s="3"/>
      <c r="W18" s="3"/>
      <c r="X18" s="3"/>
      <c r="Y18" s="3"/>
      <c r="Z18" s="3"/>
      <c r="AA18" s="3"/>
      <c r="AB18" s="3"/>
      <c r="AC18" s="3"/>
      <c r="AD18" s="3"/>
      <c r="AE18" s="3"/>
      <c r="AF18" s="3"/>
      <c r="AG18" s="3"/>
      <c r="AH18" s="3"/>
      <c r="AI18" s="3"/>
      <c r="AJ18" s="8"/>
    </row>
    <row r="19" spans="1:36" x14ac:dyDescent="0.25">
      <c r="A19" t="s">
        <v>15</v>
      </c>
      <c r="B19" t="s">
        <v>14</v>
      </c>
      <c r="C19" s="1">
        <v>0.5</v>
      </c>
      <c r="D19" t="s">
        <v>4</v>
      </c>
      <c r="F19" s="7"/>
      <c r="G19" s="3"/>
      <c r="H19" s="3"/>
      <c r="I19" s="3"/>
      <c r="J19" s="3"/>
      <c r="K19" s="3"/>
      <c r="L19" s="3"/>
      <c r="M19" s="8"/>
      <c r="O19" s="7">
        <v>54</v>
      </c>
      <c r="P19" s="3"/>
      <c r="Q19" s="3"/>
      <c r="R19" s="3"/>
      <c r="S19" s="3"/>
      <c r="T19" s="3"/>
      <c r="U19" s="3"/>
      <c r="V19" s="3"/>
      <c r="W19" s="3"/>
      <c r="X19" s="3"/>
      <c r="Y19" s="3"/>
      <c r="Z19" s="3"/>
      <c r="AA19" s="3"/>
      <c r="AB19" s="3"/>
      <c r="AC19" s="3"/>
      <c r="AD19" s="3"/>
      <c r="AE19" s="3"/>
      <c r="AF19" s="3"/>
      <c r="AG19" s="3"/>
      <c r="AH19" s="3"/>
      <c r="AI19" s="3"/>
      <c r="AJ19" s="8"/>
    </row>
    <row r="20" spans="1:36" x14ac:dyDescent="0.25">
      <c r="B20" t="s">
        <v>13</v>
      </c>
      <c r="C20">
        <v>1.3999999999999999E-4</v>
      </c>
      <c r="D20" t="s">
        <v>4</v>
      </c>
      <c r="F20" s="7"/>
      <c r="G20" s="3"/>
      <c r="H20" s="3"/>
      <c r="I20" s="3"/>
      <c r="J20" s="3"/>
      <c r="K20" s="3"/>
      <c r="L20" s="3"/>
      <c r="M20" s="8"/>
      <c r="O20" s="7"/>
      <c r="P20" s="3"/>
      <c r="Q20" s="3"/>
      <c r="R20" s="3"/>
      <c r="S20" s="3"/>
      <c r="T20" s="3"/>
      <c r="U20" s="3"/>
      <c r="V20" s="3"/>
      <c r="W20" s="3"/>
      <c r="X20" s="3"/>
      <c r="Y20" s="3"/>
      <c r="Z20" s="3"/>
      <c r="AA20" s="3" t="s">
        <v>52</v>
      </c>
      <c r="AB20" s="39">
        <f>+AE54*10^3</f>
        <v>51.2</v>
      </c>
      <c r="AC20" s="3" t="s">
        <v>51</v>
      </c>
      <c r="AD20" s="3"/>
      <c r="AE20" s="3"/>
      <c r="AF20" s="3">
        <v>3</v>
      </c>
      <c r="AG20" s="3" t="s">
        <v>35</v>
      </c>
      <c r="AH20" s="3" t="s">
        <v>103</v>
      </c>
      <c r="AI20" s="3"/>
      <c r="AJ20" s="8"/>
    </row>
    <row r="21" spans="1:36" x14ac:dyDescent="0.25">
      <c r="F21" s="7"/>
      <c r="G21" s="3"/>
      <c r="H21" s="3"/>
      <c r="I21" s="3"/>
      <c r="J21" s="3"/>
      <c r="K21" s="3"/>
      <c r="L21" s="3"/>
      <c r="M21" s="8"/>
      <c r="O21" s="7"/>
      <c r="P21" s="3"/>
      <c r="Q21" s="3"/>
      <c r="R21" s="3"/>
      <c r="S21" s="3"/>
      <c r="T21" s="3"/>
      <c r="U21" s="3"/>
      <c r="V21" s="3"/>
      <c r="W21" s="3"/>
      <c r="X21" s="3"/>
      <c r="Y21" s="3"/>
      <c r="Z21" s="3"/>
      <c r="AA21" s="3"/>
      <c r="AB21" s="3"/>
      <c r="AC21" s="3"/>
      <c r="AD21" s="3"/>
      <c r="AE21" s="3"/>
      <c r="AF21" s="13">
        <v>7</v>
      </c>
      <c r="AG21" s="3" t="s">
        <v>35</v>
      </c>
      <c r="AH21" s="3" t="s">
        <v>104</v>
      </c>
      <c r="AI21" s="3"/>
      <c r="AJ21" s="8"/>
    </row>
    <row r="22" spans="1:36" x14ac:dyDescent="0.25">
      <c r="A22" t="s">
        <v>16</v>
      </c>
      <c r="C22" s="1">
        <v>3.0000000000000001E-3</v>
      </c>
      <c r="D22" t="s">
        <v>4</v>
      </c>
      <c r="F22" s="7"/>
      <c r="G22" s="3"/>
      <c r="H22" s="3"/>
      <c r="I22" s="3"/>
      <c r="J22" s="3"/>
      <c r="K22" s="3"/>
      <c r="L22" s="3"/>
      <c r="M22" s="8"/>
      <c r="O22" s="7"/>
      <c r="P22" s="3"/>
      <c r="Q22" s="3"/>
      <c r="R22" s="3"/>
      <c r="S22" s="3"/>
      <c r="T22" s="3"/>
      <c r="U22" s="3"/>
      <c r="V22" s="3"/>
      <c r="W22" s="3"/>
      <c r="X22" s="3"/>
      <c r="Y22" s="3"/>
      <c r="Z22" s="3"/>
      <c r="AA22" s="3" t="s">
        <v>53</v>
      </c>
      <c r="AB22" s="3"/>
      <c r="AC22" s="3">
        <v>54</v>
      </c>
      <c r="AD22" s="3" t="s">
        <v>30</v>
      </c>
      <c r="AE22" s="3"/>
      <c r="AF22" s="3">
        <v>10</v>
      </c>
      <c r="AG22" s="3" t="s">
        <v>35</v>
      </c>
      <c r="AH22" s="3"/>
      <c r="AI22" s="3"/>
      <c r="AJ22" s="8"/>
    </row>
    <row r="23" spans="1:36" x14ac:dyDescent="0.25">
      <c r="F23" s="7"/>
      <c r="G23" s="3"/>
      <c r="H23" s="3"/>
      <c r="I23" s="3"/>
      <c r="J23" s="3"/>
      <c r="K23" s="3"/>
      <c r="L23" s="3"/>
      <c r="M23" s="8"/>
      <c r="O23" s="7"/>
      <c r="P23" s="3"/>
      <c r="Q23" s="3"/>
      <c r="R23" s="3"/>
      <c r="S23" s="3"/>
      <c r="T23" s="3"/>
      <c r="U23" s="3"/>
      <c r="V23" s="3"/>
      <c r="W23" s="3"/>
      <c r="X23" s="3"/>
      <c r="Y23" s="3"/>
      <c r="Z23" s="3"/>
      <c r="AA23" s="3" t="s">
        <v>54</v>
      </c>
      <c r="AB23" s="3"/>
      <c r="AC23" s="13">
        <v>10</v>
      </c>
      <c r="AD23" s="3" t="s">
        <v>55</v>
      </c>
      <c r="AE23" s="3"/>
      <c r="AF23" s="3"/>
      <c r="AG23" s="3"/>
      <c r="AH23" s="3"/>
      <c r="AI23" s="3"/>
      <c r="AJ23" s="8"/>
    </row>
    <row r="24" spans="1:36" x14ac:dyDescent="0.25">
      <c r="A24" t="s">
        <v>17</v>
      </c>
      <c r="C24" s="2">
        <v>3.3E-3</v>
      </c>
      <c r="D24" t="s">
        <v>4</v>
      </c>
      <c r="F24" s="7"/>
      <c r="G24" s="3"/>
      <c r="H24" s="3"/>
      <c r="I24" s="3"/>
      <c r="J24" s="3"/>
      <c r="K24" s="3"/>
      <c r="L24" s="3"/>
      <c r="M24" s="8"/>
      <c r="O24" s="7"/>
      <c r="P24" s="3"/>
      <c r="Q24" s="3"/>
      <c r="R24" s="3"/>
      <c r="S24" s="3"/>
      <c r="T24" s="3"/>
      <c r="U24" s="3"/>
      <c r="V24" s="3"/>
      <c r="W24" s="3"/>
      <c r="X24" s="3"/>
      <c r="Y24" s="3"/>
      <c r="Z24" s="3"/>
      <c r="AA24" s="3"/>
      <c r="AB24" s="3"/>
      <c r="AC24" s="3">
        <f>AC22*AC23</f>
        <v>540</v>
      </c>
      <c r="AD24" s="3" t="s">
        <v>56</v>
      </c>
      <c r="AE24" s="3"/>
      <c r="AF24" t="s">
        <v>77</v>
      </c>
      <c r="AG24">
        <f>+AF22*AC23</f>
        <v>100</v>
      </c>
      <c r="AH24" s="3" t="s">
        <v>35</v>
      </c>
      <c r="AI24" s="40" t="s">
        <v>106</v>
      </c>
      <c r="AJ24" s="8"/>
    </row>
    <row r="25" spans="1:36" x14ac:dyDescent="0.25">
      <c r="F25" s="12"/>
      <c r="G25" s="13"/>
      <c r="H25" s="13"/>
      <c r="I25" s="13"/>
      <c r="J25" s="13"/>
      <c r="K25" s="13"/>
      <c r="L25" s="13"/>
      <c r="M25" s="15"/>
      <c r="O25" s="7"/>
      <c r="P25" s="3"/>
      <c r="Q25" s="3"/>
      <c r="R25" s="3"/>
      <c r="S25" s="3"/>
      <c r="T25" s="3"/>
      <c r="U25" s="3"/>
      <c r="V25" s="3"/>
      <c r="W25" s="3"/>
      <c r="X25" s="3"/>
      <c r="Y25" s="3"/>
      <c r="Z25" s="3"/>
      <c r="AA25" s="3"/>
      <c r="AB25" s="3"/>
      <c r="AC25" s="3"/>
      <c r="AD25" s="3"/>
      <c r="AE25" s="3"/>
      <c r="AH25" s="3"/>
      <c r="AI25" s="3"/>
      <c r="AJ25" s="8"/>
    </row>
    <row r="26" spans="1:36" x14ac:dyDescent="0.25">
      <c r="B26" t="s">
        <v>18</v>
      </c>
      <c r="C26">
        <f>+C22+C19+C17+C16+C14+C24</f>
        <v>1.2963</v>
      </c>
      <c r="D26" t="s">
        <v>4</v>
      </c>
      <c r="O26" s="7"/>
      <c r="P26" s="3"/>
      <c r="Q26" s="3"/>
      <c r="R26" s="3"/>
      <c r="S26" s="3"/>
      <c r="T26" s="3"/>
      <c r="U26" s="3"/>
      <c r="V26" s="3"/>
      <c r="W26" s="3"/>
      <c r="X26" s="3"/>
      <c r="Y26" s="3"/>
      <c r="Z26" s="3"/>
      <c r="AA26" s="3" t="s">
        <v>34</v>
      </c>
      <c r="AB26" s="3">
        <f>1/AB20</f>
        <v>1.953125E-2</v>
      </c>
      <c r="AC26" s="3" t="s">
        <v>35</v>
      </c>
      <c r="AD26" s="3"/>
      <c r="AE26" s="3"/>
      <c r="AF26" s="3"/>
      <c r="AG26" s="3"/>
      <c r="AH26" s="3"/>
      <c r="AI26" s="3"/>
      <c r="AJ26" s="8"/>
    </row>
    <row r="27" spans="1:36" x14ac:dyDescent="0.25">
      <c r="F27">
        <v>1</v>
      </c>
      <c r="G27" t="s">
        <v>28</v>
      </c>
      <c r="O27" s="7"/>
      <c r="P27" s="3"/>
      <c r="Q27" s="3"/>
      <c r="R27" s="3"/>
      <c r="S27" s="3"/>
      <c r="T27" s="3"/>
      <c r="U27" s="3"/>
      <c r="V27" s="3"/>
      <c r="W27" s="3"/>
      <c r="X27" s="3"/>
      <c r="Y27" s="3"/>
      <c r="Z27" s="3"/>
      <c r="AA27" s="3"/>
      <c r="AB27" s="3"/>
      <c r="AC27" s="3"/>
      <c r="AD27" s="3"/>
      <c r="AE27" s="3"/>
      <c r="AF27" s="3"/>
      <c r="AG27" s="3"/>
      <c r="AH27" s="3"/>
      <c r="AI27" s="3"/>
      <c r="AJ27" s="8"/>
    </row>
    <row r="28" spans="1:36" x14ac:dyDescent="0.25">
      <c r="A28" t="s">
        <v>20</v>
      </c>
      <c r="C28">
        <f>+C26/F30</f>
        <v>4.3210000000000002E-3</v>
      </c>
      <c r="D28" t="s">
        <v>4</v>
      </c>
      <c r="F28">
        <f>+F27*12</f>
        <v>12</v>
      </c>
      <c r="G28" t="s">
        <v>27</v>
      </c>
      <c r="O28" s="7"/>
      <c r="P28" s="3"/>
      <c r="Q28" s="3"/>
      <c r="R28" s="3"/>
      <c r="S28" s="3"/>
      <c r="T28" s="3"/>
      <c r="U28" s="3"/>
      <c r="V28" s="3"/>
      <c r="W28" s="3"/>
      <c r="X28" s="3"/>
      <c r="Y28" s="3"/>
      <c r="Z28" s="3"/>
      <c r="AA28" s="3" t="s">
        <v>57</v>
      </c>
      <c r="AB28" s="3"/>
      <c r="AC28" s="3">
        <f>+AC24*AB26</f>
        <v>10.546875</v>
      </c>
      <c r="AD28" s="3" t="s">
        <v>35</v>
      </c>
      <c r="AE28" s="23" t="s">
        <v>105</v>
      </c>
      <c r="AF28" s="3">
        <f>+AG24</f>
        <v>100</v>
      </c>
      <c r="AG28" s="3" t="s">
        <v>35</v>
      </c>
      <c r="AH28" s="41" t="s">
        <v>107</v>
      </c>
      <c r="AI28" s="3">
        <f>+AC28+AF28</f>
        <v>110.546875</v>
      </c>
      <c r="AJ28" s="8" t="s">
        <v>35</v>
      </c>
    </row>
    <row r="29" spans="1:36" x14ac:dyDescent="0.25">
      <c r="B29" t="s">
        <v>21</v>
      </c>
      <c r="C29">
        <f>+C24+C15</f>
        <v>0.1033</v>
      </c>
      <c r="D29" t="s">
        <v>4</v>
      </c>
      <c r="O29" s="7"/>
      <c r="P29" s="3"/>
      <c r="Q29" s="3"/>
      <c r="R29" s="3"/>
      <c r="S29" s="3"/>
      <c r="T29" s="3"/>
      <c r="U29" s="3"/>
      <c r="V29" s="3"/>
      <c r="W29" s="3"/>
      <c r="X29" s="3"/>
      <c r="Y29" s="3"/>
      <c r="Z29" s="3"/>
      <c r="AA29" s="3"/>
      <c r="AB29" s="3"/>
      <c r="AC29" s="3"/>
      <c r="AD29" s="3"/>
      <c r="AE29" s="3"/>
      <c r="AF29" s="3"/>
      <c r="AH29" s="3"/>
      <c r="AI29" s="3"/>
      <c r="AJ29" s="8"/>
    </row>
    <row r="30" spans="1:36" ht="14.25" customHeight="1" x14ac:dyDescent="0.25">
      <c r="F30">
        <f>3600/F28</f>
        <v>300</v>
      </c>
      <c r="G30" t="s">
        <v>19</v>
      </c>
      <c r="O30" s="7"/>
      <c r="P30" s="3"/>
      <c r="Q30" s="3"/>
      <c r="R30" s="3"/>
      <c r="S30" s="3"/>
      <c r="T30" s="3"/>
      <c r="U30" s="3"/>
      <c r="V30" s="3"/>
      <c r="W30" s="3"/>
      <c r="X30" s="3"/>
      <c r="Y30" s="3"/>
      <c r="Z30" s="3"/>
      <c r="AA30" s="52" t="s">
        <v>58</v>
      </c>
      <c r="AB30" s="52"/>
      <c r="AC30" s="52"/>
      <c r="AD30" s="52"/>
      <c r="AE30" s="52"/>
      <c r="AF30" s="52"/>
      <c r="AG30" s="52"/>
      <c r="AH30" s="52"/>
      <c r="AI30" s="52"/>
      <c r="AJ30" s="53"/>
    </row>
    <row r="31" spans="1:36" ht="15" customHeight="1" x14ac:dyDescent="0.25">
      <c r="B31" t="s">
        <v>22</v>
      </c>
      <c r="C31">
        <f>+C29+C28</f>
        <v>0.10762100000000001</v>
      </c>
      <c r="D31" t="s">
        <v>4</v>
      </c>
      <c r="O31" s="7"/>
      <c r="P31" s="3"/>
      <c r="Q31" s="3"/>
      <c r="R31" s="3"/>
      <c r="S31" s="3"/>
      <c r="T31" s="3"/>
      <c r="U31" s="3"/>
      <c r="V31" s="3"/>
      <c r="W31" s="3"/>
      <c r="X31" s="3"/>
      <c r="Y31" s="3"/>
      <c r="Z31" s="3"/>
      <c r="AA31" s="52"/>
      <c r="AB31" s="52"/>
      <c r="AC31" s="52"/>
      <c r="AD31" s="52"/>
      <c r="AE31" s="52"/>
      <c r="AF31" s="52"/>
      <c r="AG31" s="52"/>
      <c r="AH31" s="52"/>
      <c r="AI31" s="52"/>
      <c r="AJ31" s="53"/>
    </row>
    <row r="32" spans="1:36" x14ac:dyDescent="0.25">
      <c r="O32" s="7"/>
      <c r="P32" s="3"/>
      <c r="Q32" s="3"/>
      <c r="R32" s="3"/>
      <c r="S32" s="3"/>
      <c r="T32" s="3"/>
      <c r="U32" s="3"/>
      <c r="V32" s="3"/>
      <c r="W32" s="3"/>
      <c r="X32" s="3"/>
      <c r="Y32" s="3"/>
      <c r="Z32" s="3"/>
      <c r="AA32" s="52"/>
      <c r="AB32" s="52"/>
      <c r="AC32" s="52"/>
      <c r="AD32" s="52"/>
      <c r="AE32" s="52"/>
      <c r="AF32" s="52"/>
      <c r="AG32" s="52"/>
      <c r="AH32" s="52"/>
      <c r="AI32" s="52"/>
      <c r="AJ32" s="53"/>
    </row>
    <row r="33" spans="1:36" x14ac:dyDescent="0.25">
      <c r="A33" t="s">
        <v>23</v>
      </c>
      <c r="C33">
        <f>+A5/C31</f>
        <v>25088.040438204436</v>
      </c>
      <c r="D33" t="s">
        <v>24</v>
      </c>
      <c r="E33">
        <f>+C33/24</f>
        <v>1045.3350182585182</v>
      </c>
      <c r="F33" t="s">
        <v>25</v>
      </c>
      <c r="O33" s="7"/>
      <c r="P33" s="3"/>
      <c r="Q33" s="3"/>
      <c r="R33" s="3"/>
      <c r="S33" s="3"/>
      <c r="T33" s="3"/>
      <c r="U33" s="3"/>
      <c r="V33" s="3"/>
      <c r="W33" s="3"/>
      <c r="X33" s="3"/>
      <c r="Y33" s="3"/>
      <c r="Z33" s="3"/>
      <c r="AA33" s="52"/>
      <c r="AB33" s="52"/>
      <c r="AC33" s="52"/>
      <c r="AD33" s="52"/>
      <c r="AE33" s="52"/>
      <c r="AF33" s="52"/>
      <c r="AG33" s="52"/>
      <c r="AH33" s="52"/>
      <c r="AI33" s="52"/>
      <c r="AJ33" s="53"/>
    </row>
    <row r="34" spans="1:36" x14ac:dyDescent="0.25">
      <c r="E34">
        <f>+E33/355</f>
        <v>2.9446056852352624</v>
      </c>
      <c r="F34" t="s">
        <v>29</v>
      </c>
      <c r="O34" s="7"/>
      <c r="P34" s="3"/>
      <c r="Q34" s="3"/>
      <c r="R34" s="3"/>
      <c r="S34" s="3"/>
      <c r="T34" s="3"/>
      <c r="U34" s="3"/>
      <c r="V34" s="3"/>
      <c r="W34" s="3"/>
      <c r="X34" s="3"/>
      <c r="Y34" s="3"/>
      <c r="Z34" s="3"/>
      <c r="AA34" s="52"/>
      <c r="AB34" s="52"/>
      <c r="AC34" s="52"/>
      <c r="AD34" s="52"/>
      <c r="AE34" s="52"/>
      <c r="AF34" s="52"/>
      <c r="AG34" s="52"/>
      <c r="AH34" s="52"/>
      <c r="AI34" s="52"/>
      <c r="AJ34" s="53"/>
    </row>
    <row r="35" spans="1:36" x14ac:dyDescent="0.25">
      <c r="O35" s="7"/>
      <c r="P35" s="3"/>
      <c r="Q35" s="3"/>
      <c r="R35" s="3"/>
      <c r="S35" s="3"/>
      <c r="T35" s="3"/>
      <c r="U35" s="3"/>
      <c r="V35" s="3"/>
      <c r="W35" s="3"/>
      <c r="X35" s="3"/>
      <c r="Y35" s="3"/>
      <c r="Z35" s="3"/>
      <c r="AA35" s="52"/>
      <c r="AB35" s="52"/>
      <c r="AC35" s="52"/>
      <c r="AD35" s="52"/>
      <c r="AE35" s="52"/>
      <c r="AF35" s="52"/>
      <c r="AG35" s="52"/>
      <c r="AH35" s="52"/>
      <c r="AI35" s="52"/>
      <c r="AJ35" s="53"/>
    </row>
    <row r="36" spans="1:36" x14ac:dyDescent="0.25">
      <c r="O36" s="7"/>
      <c r="P36" s="3"/>
      <c r="Q36" s="3"/>
      <c r="R36" s="3"/>
      <c r="S36" s="3"/>
      <c r="T36" s="3"/>
      <c r="U36" s="3"/>
      <c r="V36" s="3"/>
      <c r="W36" s="3"/>
      <c r="X36" s="3"/>
      <c r="Y36" s="3"/>
      <c r="Z36" s="3"/>
      <c r="AA36" s="3" t="s">
        <v>59</v>
      </c>
      <c r="AB36" s="3"/>
      <c r="AC36" s="3"/>
      <c r="AD36" s="3"/>
      <c r="AE36" s="3"/>
      <c r="AF36" s="3"/>
      <c r="AG36" s="3"/>
      <c r="AH36" s="3"/>
      <c r="AI36" s="3"/>
      <c r="AJ36" s="8"/>
    </row>
    <row r="37" spans="1:36" x14ac:dyDescent="0.25">
      <c r="B37" s="4"/>
      <c r="C37" s="5"/>
      <c r="D37" s="5"/>
      <c r="E37" s="5"/>
      <c r="F37" s="5"/>
      <c r="G37" s="5"/>
      <c r="H37" s="5"/>
      <c r="I37" s="5"/>
      <c r="J37" s="5"/>
      <c r="K37" s="5"/>
      <c r="L37" s="5"/>
      <c r="M37" s="6"/>
      <c r="O37" s="7"/>
      <c r="P37" s="3"/>
      <c r="Q37" s="3"/>
      <c r="R37" s="3"/>
      <c r="S37" s="3"/>
      <c r="T37" s="3"/>
      <c r="U37" s="3"/>
      <c r="V37" s="3"/>
      <c r="W37" s="3"/>
      <c r="X37" s="3"/>
      <c r="Y37" s="3"/>
      <c r="Z37" s="3"/>
      <c r="AA37" s="3"/>
      <c r="AB37" s="3"/>
      <c r="AC37" s="3"/>
      <c r="AD37" s="3"/>
      <c r="AE37" s="3"/>
      <c r="AF37" s="3"/>
      <c r="AG37" s="3"/>
      <c r="AH37" s="3"/>
      <c r="AI37" s="3"/>
      <c r="AJ37" s="8"/>
    </row>
    <row r="38" spans="1:36" x14ac:dyDescent="0.25">
      <c r="B38" s="44" t="s">
        <v>66</v>
      </c>
      <c r="C38" s="45"/>
      <c r="D38" s="45"/>
      <c r="E38" s="45"/>
      <c r="F38" s="45"/>
      <c r="G38" s="45"/>
      <c r="H38" s="45"/>
      <c r="I38" s="45"/>
      <c r="J38" s="45"/>
      <c r="K38" s="45"/>
      <c r="L38" s="45"/>
      <c r="M38" s="46"/>
      <c r="O38" s="7"/>
      <c r="P38" s="3"/>
      <c r="Q38" s="3"/>
      <c r="R38" s="3"/>
      <c r="S38" s="3"/>
      <c r="T38" s="3"/>
      <c r="U38" s="3"/>
      <c r="V38" s="3"/>
      <c r="W38" s="3"/>
      <c r="X38" s="3"/>
      <c r="Y38" s="3"/>
      <c r="Z38" s="3"/>
      <c r="AA38" s="3"/>
      <c r="AB38" s="3"/>
      <c r="AC38" s="3"/>
      <c r="AD38" s="3"/>
      <c r="AE38" s="3"/>
      <c r="AF38" s="3"/>
      <c r="AG38" s="3"/>
      <c r="AH38" s="3"/>
      <c r="AI38" s="3"/>
      <c r="AJ38" s="8"/>
    </row>
    <row r="39" spans="1:36" x14ac:dyDescent="0.25">
      <c r="B39" s="7"/>
      <c r="C39" s="3"/>
      <c r="D39" s="3"/>
      <c r="E39" s="3"/>
      <c r="F39" s="3"/>
      <c r="G39" s="3"/>
      <c r="H39" s="3"/>
      <c r="I39" s="3"/>
      <c r="J39" s="3"/>
      <c r="K39" s="3"/>
      <c r="L39" s="3"/>
      <c r="M39" s="8"/>
      <c r="O39" s="7"/>
      <c r="P39" s="3"/>
      <c r="Q39" s="3"/>
      <c r="R39" s="3"/>
      <c r="S39" s="3"/>
      <c r="T39" s="3"/>
      <c r="U39" s="3"/>
      <c r="V39" s="3"/>
      <c r="W39" s="3"/>
      <c r="X39" s="3"/>
      <c r="Y39" s="3"/>
      <c r="Z39" s="3"/>
      <c r="AA39" s="3"/>
      <c r="AB39" s="3"/>
      <c r="AC39" s="3"/>
      <c r="AD39" s="3"/>
      <c r="AE39" s="3"/>
      <c r="AF39" s="3"/>
      <c r="AG39" s="3"/>
      <c r="AH39" s="3"/>
      <c r="AI39" s="3"/>
      <c r="AJ39" s="8"/>
    </row>
    <row r="40" spans="1:36" x14ac:dyDescent="0.25">
      <c r="B40" s="7"/>
      <c r="C40" s="3"/>
      <c r="D40" s="3"/>
      <c r="E40" s="3"/>
      <c r="F40" s="3"/>
      <c r="G40" s="3"/>
      <c r="H40" s="3"/>
      <c r="I40" s="3"/>
      <c r="J40" s="3"/>
      <c r="K40" s="3"/>
      <c r="L40" s="3"/>
      <c r="M40" s="8"/>
      <c r="O40" s="7"/>
      <c r="P40" s="3"/>
      <c r="Q40" s="3"/>
      <c r="R40" s="3"/>
      <c r="S40" s="3"/>
      <c r="T40" s="3"/>
      <c r="U40" s="3"/>
      <c r="V40" s="3"/>
      <c r="W40" s="3"/>
      <c r="X40" s="3"/>
      <c r="Y40" s="3"/>
      <c r="Z40" s="3"/>
      <c r="AA40" s="3"/>
      <c r="AB40" s="3"/>
      <c r="AC40" s="3"/>
      <c r="AD40" s="3"/>
      <c r="AE40" s="3"/>
      <c r="AF40" s="3"/>
      <c r="AG40" s="3"/>
      <c r="AH40" s="3"/>
      <c r="AI40" s="3"/>
      <c r="AJ40" s="8"/>
    </row>
    <row r="41" spans="1:36" x14ac:dyDescent="0.25">
      <c r="B41" s="7"/>
      <c r="C41" s="3"/>
      <c r="D41" s="3"/>
      <c r="E41" s="3"/>
      <c r="F41" s="3"/>
      <c r="G41" s="3"/>
      <c r="H41" s="3"/>
      <c r="I41" s="3"/>
      <c r="J41" s="3"/>
      <c r="K41" s="3"/>
      <c r="L41" s="3"/>
      <c r="M41" s="8"/>
      <c r="O41" s="7"/>
      <c r="P41" s="3"/>
      <c r="Q41" s="3"/>
      <c r="R41" s="3"/>
      <c r="S41" s="3"/>
      <c r="T41" s="3"/>
      <c r="U41" s="3"/>
      <c r="V41" s="3"/>
      <c r="W41" s="3"/>
      <c r="X41" s="3"/>
      <c r="Y41" s="3"/>
      <c r="Z41" s="3"/>
      <c r="AA41" s="3"/>
      <c r="AB41" s="3"/>
      <c r="AC41" s="3"/>
      <c r="AD41" s="3"/>
      <c r="AE41" s="3"/>
      <c r="AF41" s="3"/>
      <c r="AG41" s="3"/>
      <c r="AH41" s="3"/>
      <c r="AI41" s="3"/>
      <c r="AJ41" s="8"/>
    </row>
    <row r="42" spans="1:36" x14ac:dyDescent="0.25">
      <c r="B42" s="7"/>
      <c r="C42" s="3"/>
      <c r="D42" s="3"/>
      <c r="E42" s="3"/>
      <c r="F42" s="3"/>
      <c r="G42" s="3"/>
      <c r="H42" s="3"/>
      <c r="I42" s="3"/>
      <c r="J42" s="3"/>
      <c r="K42" s="3"/>
      <c r="L42" s="3"/>
      <c r="M42" s="8"/>
      <c r="O42" s="7"/>
      <c r="P42" s="3"/>
      <c r="Q42" s="3"/>
      <c r="R42" s="3"/>
      <c r="S42" s="3"/>
      <c r="T42" s="3"/>
      <c r="U42" s="3"/>
      <c r="V42" s="3"/>
      <c r="W42" s="3"/>
      <c r="X42" s="3"/>
      <c r="Y42" s="3"/>
      <c r="Z42" s="3"/>
      <c r="AA42" s="3"/>
      <c r="AB42" s="3"/>
      <c r="AC42" s="3"/>
      <c r="AD42" s="3"/>
      <c r="AE42" s="3"/>
      <c r="AF42" s="3"/>
      <c r="AG42" s="3"/>
      <c r="AH42" s="3"/>
      <c r="AI42" s="3"/>
      <c r="AJ42" s="8"/>
    </row>
    <row r="43" spans="1:36" x14ac:dyDescent="0.25">
      <c r="B43" s="7"/>
      <c r="C43" s="3"/>
      <c r="D43" s="3"/>
      <c r="E43" s="3"/>
      <c r="F43" s="3"/>
      <c r="G43" s="3"/>
      <c r="H43" s="3"/>
      <c r="I43" s="3"/>
      <c r="J43" s="3"/>
      <c r="K43" s="3"/>
      <c r="L43" s="3"/>
      <c r="M43" s="8"/>
      <c r="O43" s="7"/>
      <c r="P43" s="3"/>
      <c r="Q43" s="3"/>
      <c r="R43" s="3"/>
      <c r="S43" s="3"/>
      <c r="T43" s="3"/>
      <c r="U43" s="3"/>
      <c r="V43" s="3"/>
      <c r="W43" s="3"/>
      <c r="X43" s="3"/>
      <c r="Y43" s="3"/>
      <c r="Z43" s="3"/>
      <c r="AA43" s="3"/>
      <c r="AB43" s="3"/>
      <c r="AC43" s="3"/>
      <c r="AD43" s="3"/>
      <c r="AE43" s="3"/>
      <c r="AF43" s="3"/>
      <c r="AG43" s="3"/>
      <c r="AH43" s="3"/>
      <c r="AI43" s="3"/>
      <c r="AJ43" s="8"/>
    </row>
    <row r="44" spans="1:36" x14ac:dyDescent="0.25">
      <c r="B44" s="7"/>
      <c r="C44" s="3"/>
      <c r="D44" s="3"/>
      <c r="E44" s="3"/>
      <c r="F44" s="3"/>
      <c r="G44" s="3"/>
      <c r="H44" s="3"/>
      <c r="I44" s="3"/>
      <c r="J44" s="3"/>
      <c r="K44" s="3"/>
      <c r="L44" s="3"/>
      <c r="M44" s="8"/>
      <c r="O44" s="7"/>
      <c r="P44" s="3"/>
      <c r="Q44" s="3"/>
      <c r="R44" s="3"/>
      <c r="S44" s="3"/>
      <c r="T44" s="3"/>
      <c r="U44" s="3"/>
      <c r="V44" s="3"/>
      <c r="W44" s="3"/>
      <c r="X44" s="3"/>
      <c r="Y44" s="3"/>
      <c r="Z44" s="3"/>
      <c r="AA44" s="3"/>
      <c r="AB44" s="3"/>
      <c r="AC44" s="3"/>
      <c r="AD44" s="3"/>
      <c r="AE44" s="3"/>
      <c r="AF44" s="3"/>
      <c r="AG44" s="3"/>
      <c r="AH44" s="3"/>
      <c r="AI44" s="3"/>
      <c r="AJ44" s="8"/>
    </row>
    <row r="45" spans="1:36" x14ac:dyDescent="0.25">
      <c r="B45" s="7" t="s">
        <v>92</v>
      </c>
      <c r="C45" s="3"/>
      <c r="D45" s="3"/>
      <c r="E45" s="3"/>
      <c r="F45" s="3"/>
      <c r="G45" s="3"/>
      <c r="H45" s="3"/>
      <c r="I45" s="3"/>
      <c r="J45" s="3"/>
      <c r="K45" s="3"/>
      <c r="L45" s="3"/>
      <c r="M45" s="8"/>
      <c r="O45" s="7"/>
      <c r="P45" s="3"/>
      <c r="Q45" s="3"/>
      <c r="R45" s="3"/>
      <c r="S45" s="3"/>
      <c r="T45" s="3"/>
      <c r="U45" s="3"/>
      <c r="V45" s="3"/>
      <c r="W45" s="3"/>
      <c r="X45" s="3"/>
      <c r="Y45" s="3"/>
      <c r="Z45" s="3"/>
      <c r="AA45" s="3"/>
      <c r="AB45" s="3"/>
      <c r="AC45" s="3"/>
      <c r="AD45" s="3"/>
      <c r="AE45" s="3"/>
      <c r="AF45" s="3"/>
      <c r="AG45" s="3"/>
      <c r="AH45" s="3"/>
      <c r="AI45" s="3"/>
      <c r="AJ45" s="8"/>
    </row>
    <row r="46" spans="1:36" x14ac:dyDescent="0.25">
      <c r="B46" s="7"/>
      <c r="C46" s="3"/>
      <c r="D46" s="3"/>
      <c r="E46" s="3"/>
      <c r="F46" s="3"/>
      <c r="G46" s="3"/>
      <c r="H46" s="3"/>
      <c r="I46" s="3"/>
      <c r="J46" s="3"/>
      <c r="K46" s="3"/>
      <c r="L46" s="3"/>
      <c r="M46" s="8"/>
      <c r="O46" s="7"/>
      <c r="P46" s="3"/>
      <c r="Q46" s="3"/>
      <c r="R46" s="3"/>
      <c r="S46" s="3"/>
      <c r="T46" s="3"/>
      <c r="U46" s="3"/>
      <c r="V46" s="3"/>
      <c r="W46" s="3"/>
      <c r="X46" s="3"/>
      <c r="Y46" s="3"/>
      <c r="Z46" s="3"/>
      <c r="AA46" s="3"/>
      <c r="AB46" s="3"/>
      <c r="AC46" s="3"/>
      <c r="AD46" s="3"/>
      <c r="AE46" s="3"/>
      <c r="AF46" s="3"/>
      <c r="AG46" s="3"/>
      <c r="AH46" s="3"/>
      <c r="AI46" s="3"/>
      <c r="AJ46" s="8"/>
    </row>
    <row r="47" spans="1:36" x14ac:dyDescent="0.25">
      <c r="B47" s="21">
        <v>0</v>
      </c>
      <c r="C47" s="16">
        <v>3.8399999999999997E-2</v>
      </c>
      <c r="D47" s="16">
        <v>7</v>
      </c>
      <c r="E47" s="16">
        <v>0.30719999999999997</v>
      </c>
      <c r="F47" s="16">
        <v>14</v>
      </c>
      <c r="G47" s="16">
        <v>0.57599999999999996</v>
      </c>
      <c r="H47" s="16">
        <v>21</v>
      </c>
      <c r="I47" s="16">
        <v>0.8448</v>
      </c>
      <c r="J47" s="3"/>
      <c r="K47" s="3"/>
      <c r="L47" s="3"/>
      <c r="M47" s="8"/>
      <c r="O47" s="7"/>
      <c r="P47" s="3"/>
      <c r="Q47" s="3"/>
      <c r="R47" s="3"/>
      <c r="S47" s="3"/>
      <c r="T47" s="3"/>
      <c r="U47" s="3"/>
      <c r="V47" s="3"/>
      <c r="W47" s="3"/>
      <c r="X47" s="3"/>
      <c r="Y47" s="3"/>
      <c r="Z47" s="3"/>
      <c r="AA47" s="3" t="s">
        <v>60</v>
      </c>
      <c r="AB47" s="3" t="s">
        <v>61</v>
      </c>
      <c r="AC47" s="3"/>
      <c r="AD47" s="3"/>
      <c r="AE47" s="3"/>
      <c r="AF47" s="3" t="s">
        <v>62</v>
      </c>
      <c r="AG47" s="3">
        <v>1</v>
      </c>
      <c r="AH47" s="3"/>
      <c r="AI47" s="3"/>
      <c r="AJ47" s="8"/>
    </row>
    <row r="48" spans="1:36" x14ac:dyDescent="0.25">
      <c r="B48" s="21">
        <v>1</v>
      </c>
      <c r="C48" s="16">
        <v>7.6799999999999993E-2</v>
      </c>
      <c r="D48" s="16">
        <v>8</v>
      </c>
      <c r="E48" s="16">
        <v>0.34560000000000002</v>
      </c>
      <c r="F48" s="16">
        <v>15</v>
      </c>
      <c r="G48" s="16">
        <v>0.61439999999999995</v>
      </c>
      <c r="H48" s="16">
        <v>22</v>
      </c>
      <c r="I48" s="16">
        <v>0.88319999999999999</v>
      </c>
      <c r="J48" s="3"/>
      <c r="K48" s="3"/>
      <c r="L48" s="3"/>
      <c r="M48" s="8"/>
      <c r="O48" s="7"/>
      <c r="P48" s="3"/>
      <c r="Q48" s="3"/>
      <c r="R48" s="3"/>
      <c r="S48" s="3"/>
      <c r="T48" s="3"/>
      <c r="U48" s="3"/>
      <c r="V48" s="3"/>
      <c r="W48" s="3"/>
      <c r="X48" s="3"/>
      <c r="Y48" s="3"/>
      <c r="Z48" s="3"/>
      <c r="AA48" s="3"/>
      <c r="AB48" s="3"/>
      <c r="AC48" s="3"/>
      <c r="AD48" s="3"/>
      <c r="AE48" s="3"/>
      <c r="AF48" s="3" t="s">
        <v>63</v>
      </c>
      <c r="AG48" s="3">
        <v>1</v>
      </c>
      <c r="AH48" s="3"/>
      <c r="AI48" s="3"/>
      <c r="AJ48" s="8"/>
    </row>
    <row r="49" spans="2:36" x14ac:dyDescent="0.25">
      <c r="B49" s="21">
        <v>2</v>
      </c>
      <c r="C49" s="16">
        <v>0.1152</v>
      </c>
      <c r="D49" s="16">
        <v>9</v>
      </c>
      <c r="E49" s="16">
        <v>0.38400000000000001</v>
      </c>
      <c r="F49" s="16">
        <v>16</v>
      </c>
      <c r="G49" s="16">
        <v>0.65280000000000005</v>
      </c>
      <c r="H49" s="18">
        <v>23</v>
      </c>
      <c r="I49" s="18">
        <v>0.92159999999999997</v>
      </c>
      <c r="J49" s="3"/>
      <c r="K49" s="3"/>
      <c r="L49" s="3"/>
      <c r="M49" s="8"/>
      <c r="O49" s="7"/>
      <c r="P49" s="3"/>
      <c r="Q49" s="3"/>
      <c r="R49" s="3"/>
      <c r="S49" s="3"/>
      <c r="T49" s="3"/>
      <c r="U49" s="3"/>
      <c r="V49" s="3"/>
      <c r="W49" s="3"/>
      <c r="X49" s="3"/>
      <c r="Y49" s="3"/>
      <c r="Z49" s="3"/>
      <c r="AA49" s="3" t="s">
        <v>60</v>
      </c>
      <c r="AB49" s="3">
        <f>+AG49*10^3*(16+2*AG48*AG47)</f>
        <v>921600</v>
      </c>
      <c r="AC49" s="3" t="s">
        <v>33</v>
      </c>
      <c r="AD49" s="3"/>
      <c r="AE49" s="3"/>
      <c r="AF49" s="3" t="s">
        <v>52</v>
      </c>
      <c r="AG49" s="3">
        <f>+AB20</f>
        <v>51.2</v>
      </c>
      <c r="AH49" s="3" t="s">
        <v>51</v>
      </c>
      <c r="AI49" s="3"/>
      <c r="AJ49" s="8"/>
    </row>
    <row r="50" spans="2:36" x14ac:dyDescent="0.25">
      <c r="B50" s="21">
        <v>3</v>
      </c>
      <c r="C50" s="16">
        <v>0.15359999999999999</v>
      </c>
      <c r="D50" s="16">
        <v>10</v>
      </c>
      <c r="E50" s="16">
        <v>0.4224</v>
      </c>
      <c r="F50" s="16">
        <v>17</v>
      </c>
      <c r="G50" s="17">
        <v>0.69120000000000004</v>
      </c>
      <c r="H50" s="19">
        <v>24</v>
      </c>
      <c r="I50" s="19">
        <v>0.96</v>
      </c>
      <c r="J50" s="3"/>
      <c r="K50" s="3"/>
      <c r="L50" s="3"/>
      <c r="M50" s="8"/>
      <c r="O50" s="7"/>
      <c r="P50" s="3"/>
      <c r="Q50" s="3"/>
      <c r="R50" s="3"/>
      <c r="S50" s="3"/>
      <c r="T50" s="3"/>
      <c r="U50" s="3"/>
      <c r="V50" s="3"/>
      <c r="W50" s="3"/>
      <c r="X50" s="3"/>
      <c r="Y50" s="3"/>
      <c r="Z50" s="3"/>
      <c r="AA50" s="3" t="s">
        <v>60</v>
      </c>
      <c r="AB50" s="3">
        <f>+AB49*10^-3</f>
        <v>921.6</v>
      </c>
      <c r="AC50" s="3" t="s">
        <v>51</v>
      </c>
      <c r="AD50" s="3"/>
      <c r="AE50" s="3"/>
      <c r="AF50" s="3"/>
      <c r="AG50" s="3"/>
      <c r="AH50" s="3"/>
      <c r="AI50" s="3"/>
      <c r="AJ50" s="8"/>
    </row>
    <row r="51" spans="2:36" x14ac:dyDescent="0.25">
      <c r="B51" s="21">
        <v>4</v>
      </c>
      <c r="C51" s="16">
        <v>0.192</v>
      </c>
      <c r="D51" s="16">
        <v>11</v>
      </c>
      <c r="E51" s="16">
        <v>0.46079999999999999</v>
      </c>
      <c r="F51" s="16">
        <v>18</v>
      </c>
      <c r="G51" s="17">
        <v>0.72960000000000003</v>
      </c>
      <c r="H51" s="19">
        <v>25</v>
      </c>
      <c r="I51" s="19">
        <v>0.99839999999999995</v>
      </c>
      <c r="J51" s="3"/>
      <c r="K51" s="3"/>
      <c r="L51" s="3"/>
      <c r="M51" s="8"/>
      <c r="O51" s="7"/>
      <c r="P51" s="3"/>
      <c r="Q51" s="3"/>
      <c r="R51" s="3"/>
      <c r="S51" s="3"/>
      <c r="T51" s="3"/>
      <c r="U51" s="3"/>
      <c r="V51" s="3"/>
      <c r="W51" s="3"/>
      <c r="X51" s="3"/>
      <c r="Y51" s="3"/>
      <c r="Z51" s="3"/>
      <c r="AA51" s="3" t="s">
        <v>60</v>
      </c>
      <c r="AB51" s="3">
        <f>+AB50*10^-3</f>
        <v>0.92160000000000009</v>
      </c>
      <c r="AC51" s="3" t="s">
        <v>64</v>
      </c>
      <c r="AD51" s="3"/>
      <c r="AE51" s="3"/>
      <c r="AF51" s="3"/>
      <c r="AG51" s="3"/>
      <c r="AH51" s="3"/>
      <c r="AI51" s="3"/>
      <c r="AJ51" s="8"/>
    </row>
    <row r="52" spans="2:36" x14ac:dyDescent="0.25">
      <c r="B52" s="21">
        <v>5</v>
      </c>
      <c r="C52" s="16">
        <v>0.23039999999999999</v>
      </c>
      <c r="D52" s="16">
        <v>12</v>
      </c>
      <c r="E52" s="16">
        <v>0.49919999999999998</v>
      </c>
      <c r="F52" s="16">
        <v>19</v>
      </c>
      <c r="G52" s="17">
        <v>0.76800000000000002</v>
      </c>
      <c r="H52" s="19">
        <v>26</v>
      </c>
      <c r="I52" s="19">
        <v>1.0367999999999999</v>
      </c>
      <c r="J52" s="3"/>
      <c r="K52" s="3"/>
      <c r="L52" s="3"/>
      <c r="M52" s="8"/>
      <c r="O52" s="12"/>
      <c r="P52" s="13"/>
      <c r="Q52" s="13"/>
      <c r="R52" s="13"/>
      <c r="S52" s="13"/>
      <c r="T52" s="13"/>
      <c r="U52" s="13"/>
      <c r="V52" s="13"/>
      <c r="W52" s="13"/>
      <c r="X52" s="13"/>
      <c r="Y52" s="13"/>
      <c r="Z52" s="13"/>
      <c r="AA52" s="13"/>
      <c r="AB52" s="13"/>
      <c r="AC52" s="13"/>
      <c r="AD52" s="13"/>
      <c r="AE52" s="13"/>
      <c r="AF52" s="13"/>
      <c r="AG52" s="13"/>
      <c r="AH52" s="13"/>
      <c r="AI52" s="13"/>
      <c r="AJ52" s="15"/>
    </row>
    <row r="53" spans="2:36" x14ac:dyDescent="0.25">
      <c r="B53" s="21">
        <v>6</v>
      </c>
      <c r="C53" s="16">
        <v>0.26879999999999998</v>
      </c>
      <c r="D53" s="16">
        <v>13</v>
      </c>
      <c r="E53" s="16">
        <v>0.53759999999999997</v>
      </c>
      <c r="F53" s="16">
        <v>20</v>
      </c>
      <c r="G53" s="17">
        <v>0.80640000000000001</v>
      </c>
      <c r="H53" s="19">
        <v>27</v>
      </c>
      <c r="I53" s="19">
        <v>1.0751999999999999</v>
      </c>
      <c r="J53" s="3"/>
      <c r="K53" s="3"/>
      <c r="L53" s="3"/>
      <c r="M53" s="8"/>
    </row>
    <row r="54" spans="2:36" x14ac:dyDescent="0.25">
      <c r="B54" s="7"/>
      <c r="C54" s="3"/>
      <c r="D54" s="3"/>
      <c r="E54" s="3"/>
      <c r="F54" s="3"/>
      <c r="G54" s="3"/>
      <c r="H54" s="3"/>
      <c r="I54" s="3"/>
      <c r="J54" s="3"/>
      <c r="K54" s="3"/>
      <c r="L54" s="3"/>
      <c r="M54" s="8"/>
      <c r="AA54" t="s">
        <v>60</v>
      </c>
      <c r="AB54">
        <f>+Conso!C21*10^-3</f>
        <v>0.92160000000000009</v>
      </c>
      <c r="AC54" s="20" t="s">
        <v>68</v>
      </c>
      <c r="AD54" t="s">
        <v>87</v>
      </c>
      <c r="AE54" s="24">
        <f>+AB54/(16+2*AG48*AG47)</f>
        <v>5.1200000000000002E-2</v>
      </c>
    </row>
    <row r="55" spans="2:36" x14ac:dyDescent="0.25">
      <c r="B55" s="22" t="s">
        <v>67</v>
      </c>
      <c r="C55" s="3"/>
      <c r="D55" s="3"/>
      <c r="E55" s="3"/>
      <c r="F55" s="3"/>
      <c r="G55" s="3"/>
      <c r="H55" s="3"/>
      <c r="I55" s="3"/>
      <c r="J55" s="3"/>
      <c r="K55" s="3"/>
      <c r="L55" s="3"/>
      <c r="M55" s="8"/>
    </row>
    <row r="56" spans="2:36" x14ac:dyDescent="0.25">
      <c r="B56" s="7"/>
      <c r="C56" s="3"/>
      <c r="D56" s="3"/>
      <c r="E56" s="3"/>
      <c r="F56" s="3"/>
      <c r="G56" s="3"/>
      <c r="H56" s="3"/>
      <c r="I56" s="3"/>
      <c r="J56" s="3"/>
      <c r="K56" s="3"/>
      <c r="L56" s="3"/>
      <c r="M56" s="8"/>
    </row>
    <row r="57" spans="2:36" x14ac:dyDescent="0.25">
      <c r="B57" s="7">
        <f>+E57+G57+I57</f>
        <v>10</v>
      </c>
      <c r="C57" s="23" t="s">
        <v>83</v>
      </c>
      <c r="D57" s="3"/>
      <c r="E57" s="3">
        <v>1</v>
      </c>
      <c r="F57" t="s">
        <v>84</v>
      </c>
      <c r="G57" s="3">
        <v>1</v>
      </c>
      <c r="H57" s="3" t="s">
        <v>85</v>
      </c>
      <c r="I57" s="3">
        <v>8</v>
      </c>
      <c r="J57" s="3" t="s">
        <v>86</v>
      </c>
      <c r="K57" s="3"/>
      <c r="L57" s="3"/>
      <c r="M57" s="8"/>
    </row>
    <row r="58" spans="2:36" x14ac:dyDescent="0.25">
      <c r="B58" s="7"/>
      <c r="C58" s="3"/>
      <c r="D58" s="3"/>
      <c r="E58" s="3"/>
      <c r="F58" s="3"/>
      <c r="G58" s="3"/>
      <c r="H58" s="3"/>
      <c r="I58" s="3"/>
      <c r="J58" s="3"/>
      <c r="K58" s="3"/>
      <c r="L58" s="3"/>
      <c r="M58" s="8"/>
    </row>
    <row r="59" spans="2:36" x14ac:dyDescent="0.25">
      <c r="B59" s="7"/>
      <c r="C59" s="3"/>
      <c r="D59" s="3" t="s">
        <v>73</v>
      </c>
      <c r="E59" s="3"/>
      <c r="F59" s="3" t="s">
        <v>76</v>
      </c>
      <c r="G59" s="3"/>
      <c r="H59" s="3"/>
      <c r="I59" s="3"/>
      <c r="J59" s="3"/>
      <c r="K59" s="3"/>
      <c r="L59" s="3"/>
      <c r="M59" s="8"/>
    </row>
    <row r="60" spans="2:36" x14ac:dyDescent="0.25">
      <c r="B60" s="7" t="s">
        <v>69</v>
      </c>
      <c r="C60" s="3"/>
      <c r="D60" s="3">
        <v>2</v>
      </c>
      <c r="E60" s="3"/>
      <c r="F60" s="3"/>
      <c r="G60" s="3"/>
      <c r="H60" s="3"/>
      <c r="I60" s="3"/>
      <c r="J60" s="3"/>
      <c r="K60" s="3"/>
      <c r="L60" s="3"/>
      <c r="M60" s="8"/>
    </row>
    <row r="61" spans="2:36" x14ac:dyDescent="0.25">
      <c r="B61" s="7" t="s">
        <v>70</v>
      </c>
      <c r="C61" s="3"/>
      <c r="D61" s="3">
        <v>1</v>
      </c>
      <c r="E61" s="3"/>
      <c r="F61" s="3"/>
      <c r="G61" s="3"/>
      <c r="H61" s="3"/>
      <c r="I61" s="3"/>
      <c r="J61" s="3"/>
      <c r="K61" s="3"/>
      <c r="L61" s="3"/>
      <c r="M61" s="8"/>
    </row>
    <row r="62" spans="2:36" x14ac:dyDescent="0.25">
      <c r="B62" s="7" t="s">
        <v>16</v>
      </c>
      <c r="C62" s="3" t="s">
        <v>71</v>
      </c>
      <c r="D62" s="3">
        <v>1</v>
      </c>
      <c r="E62" s="3"/>
      <c r="F62" s="3" t="s">
        <v>100</v>
      </c>
      <c r="G62" s="3"/>
      <c r="H62" s="3"/>
      <c r="I62" s="3">
        <v>1</v>
      </c>
      <c r="J62" s="3"/>
      <c r="K62" s="3"/>
      <c r="L62" s="3"/>
      <c r="M62" s="8"/>
    </row>
    <row r="63" spans="2:36" x14ac:dyDescent="0.25">
      <c r="B63" s="7" t="s">
        <v>17</v>
      </c>
      <c r="C63" s="3" t="s">
        <v>71</v>
      </c>
      <c r="D63" s="3">
        <v>1</v>
      </c>
      <c r="E63" s="3"/>
      <c r="F63" s="3" t="s">
        <v>101</v>
      </c>
      <c r="G63" s="3"/>
      <c r="H63" s="3"/>
      <c r="I63" s="3">
        <f>+D65</f>
        <v>6</v>
      </c>
      <c r="J63" s="3"/>
      <c r="K63" s="3"/>
      <c r="L63" s="3"/>
      <c r="M63" s="8"/>
    </row>
    <row r="64" spans="2:36" x14ac:dyDescent="0.25">
      <c r="B64" s="7" t="s">
        <v>72</v>
      </c>
      <c r="C64" s="3" t="s">
        <v>71</v>
      </c>
      <c r="D64" s="13">
        <v>1</v>
      </c>
      <c r="E64" s="3"/>
      <c r="F64" s="3" t="s">
        <v>102</v>
      </c>
      <c r="G64" s="3"/>
      <c r="H64" s="3"/>
      <c r="I64" s="13">
        <v>1</v>
      </c>
      <c r="J64" s="3"/>
      <c r="K64" s="3"/>
      <c r="L64" s="3"/>
      <c r="M64" s="8"/>
    </row>
    <row r="65" spans="2:13" x14ac:dyDescent="0.25">
      <c r="B65" s="7"/>
      <c r="C65" s="3"/>
      <c r="D65" s="3">
        <f>+D64+D63+D62+D61+D60</f>
        <v>6</v>
      </c>
      <c r="E65" s="3" t="s">
        <v>74</v>
      </c>
      <c r="F65" s="3"/>
      <c r="G65" s="3"/>
      <c r="H65" s="3"/>
      <c r="I65" s="3">
        <f>+I64+I63+I62+I61</f>
        <v>8</v>
      </c>
      <c r="J65" s="3" t="s">
        <v>81</v>
      </c>
      <c r="K65" s="23" t="s">
        <v>68</v>
      </c>
      <c r="L65" s="3">
        <f>+I65*B57</f>
        <v>80</v>
      </c>
      <c r="M65" s="8" t="s">
        <v>75</v>
      </c>
    </row>
    <row r="66" spans="2:13" x14ac:dyDescent="0.25">
      <c r="B66" s="7"/>
      <c r="C66" s="3"/>
      <c r="D66" s="3"/>
      <c r="E66" s="3"/>
      <c r="F66" s="3"/>
      <c r="G66" s="3"/>
      <c r="H66" s="3"/>
      <c r="I66" s="3"/>
      <c r="J66" s="3"/>
      <c r="K66" s="3"/>
      <c r="L66" s="3"/>
      <c r="M66" s="8"/>
    </row>
    <row r="67" spans="2:13" x14ac:dyDescent="0.25">
      <c r="B67" s="7" t="s">
        <v>91</v>
      </c>
      <c r="C67" s="3">
        <v>19200</v>
      </c>
      <c r="D67" s="3" t="s">
        <v>78</v>
      </c>
      <c r="E67" s="3" t="s">
        <v>79</v>
      </c>
      <c r="F67" s="3">
        <f>+C67*10^-3</f>
        <v>19.2</v>
      </c>
      <c r="G67" s="3" t="s">
        <v>80</v>
      </c>
      <c r="H67" s="3"/>
      <c r="I67" s="3"/>
      <c r="J67" s="3"/>
      <c r="M67" s="8"/>
    </row>
    <row r="68" spans="2:13" x14ac:dyDescent="0.25">
      <c r="B68" s="7"/>
      <c r="C68" s="3"/>
      <c r="D68" s="3"/>
      <c r="E68" s="3"/>
      <c r="F68" s="3"/>
      <c r="G68" s="3"/>
      <c r="H68" s="3"/>
      <c r="I68" s="3"/>
      <c r="J68" s="3"/>
      <c r="K68" s="3"/>
      <c r="L68" s="3"/>
      <c r="M68" s="8"/>
    </row>
    <row r="69" spans="2:13" x14ac:dyDescent="0.25">
      <c r="B69" s="7" t="s">
        <v>82</v>
      </c>
      <c r="C69" s="3"/>
      <c r="D69" s="3">
        <f>+L65/F67</f>
        <v>4.166666666666667</v>
      </c>
      <c r="E69" s="3" t="s">
        <v>35</v>
      </c>
      <c r="F69" s="3"/>
      <c r="G69" s="3"/>
      <c r="H69" s="3"/>
      <c r="I69" s="3"/>
      <c r="J69" s="3"/>
      <c r="K69" s="3"/>
      <c r="L69" s="3"/>
      <c r="M69" s="8"/>
    </row>
    <row r="70" spans="2:13" x14ac:dyDescent="0.25">
      <c r="B70" s="7"/>
      <c r="C70" s="3"/>
      <c r="D70" s="3"/>
      <c r="E70" s="3"/>
      <c r="F70" s="3"/>
      <c r="G70" s="3"/>
      <c r="H70" s="3"/>
      <c r="I70" s="3"/>
      <c r="J70" s="3"/>
      <c r="K70" s="3"/>
      <c r="L70" s="3"/>
      <c r="M70" s="8"/>
    </row>
    <row r="71" spans="2:13" x14ac:dyDescent="0.25">
      <c r="B71" s="28" t="s">
        <v>91</v>
      </c>
      <c r="C71" s="19" t="s">
        <v>90</v>
      </c>
      <c r="D71" s="54" t="s">
        <v>88</v>
      </c>
      <c r="E71" s="55"/>
      <c r="F71" s="55"/>
      <c r="G71" s="56"/>
      <c r="H71" s="3"/>
      <c r="I71" s="3"/>
      <c r="J71" s="3"/>
      <c r="K71" s="3"/>
      <c r="L71" s="3"/>
      <c r="M71" s="8"/>
    </row>
    <row r="72" spans="2:13" x14ac:dyDescent="0.25">
      <c r="B72" s="26">
        <v>1200</v>
      </c>
      <c r="C72" s="27">
        <v>16</v>
      </c>
      <c r="D72" s="7">
        <f>+B72*C72</f>
        <v>19200</v>
      </c>
      <c r="E72" s="25" t="s">
        <v>68</v>
      </c>
      <c r="F72" s="3">
        <f>+D72*10^-6</f>
        <v>1.9199999999999998E-2</v>
      </c>
      <c r="G72" s="8" t="s">
        <v>64</v>
      </c>
      <c r="H72" s="3"/>
      <c r="I72" s="3"/>
      <c r="J72" s="3"/>
      <c r="K72" s="3"/>
      <c r="L72" s="3"/>
      <c r="M72" s="8"/>
    </row>
    <row r="73" spans="2:13" x14ac:dyDescent="0.25">
      <c r="B73" s="26">
        <v>2400</v>
      </c>
      <c r="C73" s="27">
        <v>16</v>
      </c>
      <c r="D73" s="7">
        <f t="shared" ref="D73:D82" si="0">+B73*C73</f>
        <v>38400</v>
      </c>
      <c r="E73" s="25" t="s">
        <v>68</v>
      </c>
      <c r="F73" s="3">
        <f t="shared" ref="F73:F82" si="1">+D73*10^-6</f>
        <v>3.8399999999999997E-2</v>
      </c>
      <c r="G73" s="8" t="s">
        <v>64</v>
      </c>
      <c r="H73" s="3"/>
      <c r="I73" s="3"/>
      <c r="J73" s="3"/>
      <c r="K73" s="3"/>
      <c r="L73" s="3"/>
      <c r="M73" s="8"/>
    </row>
    <row r="74" spans="2:13" x14ac:dyDescent="0.25">
      <c r="B74" s="26">
        <v>4800</v>
      </c>
      <c r="C74" s="27">
        <v>16</v>
      </c>
      <c r="D74" s="7">
        <f t="shared" si="0"/>
        <v>76800</v>
      </c>
      <c r="E74" s="25" t="s">
        <v>68</v>
      </c>
      <c r="F74" s="3">
        <f t="shared" si="1"/>
        <v>7.6799999999999993E-2</v>
      </c>
      <c r="G74" s="8" t="s">
        <v>64</v>
      </c>
      <c r="H74" s="3"/>
      <c r="I74" s="3"/>
      <c r="J74" s="3"/>
      <c r="K74" s="3"/>
      <c r="L74" s="3"/>
      <c r="M74" s="8"/>
    </row>
    <row r="75" spans="2:13" x14ac:dyDescent="0.25">
      <c r="B75" s="27">
        <v>9600</v>
      </c>
      <c r="C75" s="27">
        <v>16</v>
      </c>
      <c r="D75" s="7">
        <f t="shared" si="0"/>
        <v>153600</v>
      </c>
      <c r="E75" s="25" t="s">
        <v>68</v>
      </c>
      <c r="F75" s="3">
        <f t="shared" si="1"/>
        <v>0.15359999999999999</v>
      </c>
      <c r="G75" s="8" t="s">
        <v>64</v>
      </c>
      <c r="H75" s="3"/>
      <c r="I75" s="3"/>
      <c r="J75" s="3"/>
      <c r="K75" s="3"/>
      <c r="L75" s="3"/>
      <c r="M75" s="8"/>
    </row>
    <row r="76" spans="2:13" x14ac:dyDescent="0.25">
      <c r="B76" s="27">
        <v>14400</v>
      </c>
      <c r="C76" s="27">
        <v>16</v>
      </c>
      <c r="D76" s="7">
        <f t="shared" si="0"/>
        <v>230400</v>
      </c>
      <c r="E76" s="25" t="s">
        <v>68</v>
      </c>
      <c r="F76" s="3">
        <f t="shared" si="1"/>
        <v>0.23039999999999999</v>
      </c>
      <c r="G76" s="8" t="s">
        <v>64</v>
      </c>
      <c r="H76" s="3"/>
      <c r="I76" s="3"/>
      <c r="J76" s="3"/>
      <c r="K76" s="3"/>
      <c r="L76" s="3"/>
      <c r="M76" s="8"/>
    </row>
    <row r="77" spans="2:13" x14ac:dyDescent="0.25">
      <c r="B77" s="27">
        <v>19200</v>
      </c>
      <c r="C77" s="27">
        <v>16</v>
      </c>
      <c r="D77" s="7">
        <f t="shared" si="0"/>
        <v>307200</v>
      </c>
      <c r="E77" s="25" t="s">
        <v>68</v>
      </c>
      <c r="F77" s="3">
        <f t="shared" si="1"/>
        <v>0.30719999999999997</v>
      </c>
      <c r="G77" s="8" t="s">
        <v>64</v>
      </c>
      <c r="H77" s="3"/>
      <c r="I77" s="3"/>
      <c r="J77" s="3"/>
      <c r="K77" s="3"/>
      <c r="L77" s="3"/>
      <c r="M77" s="8"/>
    </row>
    <row r="78" spans="2:13" x14ac:dyDescent="0.25">
      <c r="B78" s="27">
        <v>28800</v>
      </c>
      <c r="C78" s="27">
        <v>16</v>
      </c>
      <c r="D78" s="7">
        <f t="shared" si="0"/>
        <v>460800</v>
      </c>
      <c r="E78" s="25" t="s">
        <v>68</v>
      </c>
      <c r="F78" s="3">
        <f t="shared" si="1"/>
        <v>0.46079999999999999</v>
      </c>
      <c r="G78" s="8" t="s">
        <v>64</v>
      </c>
      <c r="H78" s="3"/>
      <c r="I78" s="3"/>
      <c r="J78" s="3"/>
      <c r="K78" s="3"/>
      <c r="L78" s="3"/>
      <c r="M78" s="8"/>
    </row>
    <row r="79" spans="2:13" x14ac:dyDescent="0.25">
      <c r="B79" s="27">
        <v>38400</v>
      </c>
      <c r="C79" s="27">
        <v>16</v>
      </c>
      <c r="D79" s="7">
        <f t="shared" si="0"/>
        <v>614400</v>
      </c>
      <c r="E79" s="25" t="s">
        <v>68</v>
      </c>
      <c r="F79" s="3">
        <f t="shared" si="1"/>
        <v>0.61439999999999995</v>
      </c>
      <c r="G79" s="8" t="s">
        <v>64</v>
      </c>
      <c r="H79" s="3"/>
      <c r="I79" s="3"/>
      <c r="J79" s="3"/>
      <c r="K79" s="3"/>
      <c r="L79" s="3"/>
      <c r="M79" s="8"/>
    </row>
    <row r="80" spans="2:13" x14ac:dyDescent="0.25">
      <c r="B80" s="29">
        <v>57600</v>
      </c>
      <c r="C80" s="29">
        <v>16</v>
      </c>
      <c r="D80" s="30">
        <f t="shared" si="0"/>
        <v>921600</v>
      </c>
      <c r="E80" s="31" t="s">
        <v>68</v>
      </c>
      <c r="F80" s="32">
        <f t="shared" si="1"/>
        <v>0.92159999999999997</v>
      </c>
      <c r="G80" s="33" t="s">
        <v>64</v>
      </c>
      <c r="H80" s="3"/>
      <c r="I80" s="3"/>
      <c r="J80" s="3"/>
      <c r="K80" s="3"/>
      <c r="L80" s="3"/>
      <c r="M80" s="8"/>
    </row>
    <row r="81" spans="2:13" x14ac:dyDescent="0.25">
      <c r="B81" s="29">
        <v>76800</v>
      </c>
      <c r="C81" s="29">
        <v>16</v>
      </c>
      <c r="D81" s="30">
        <f t="shared" si="0"/>
        <v>1228800</v>
      </c>
      <c r="E81" s="31" t="s">
        <v>68</v>
      </c>
      <c r="F81" s="32">
        <f t="shared" si="1"/>
        <v>1.2287999999999999</v>
      </c>
      <c r="G81" s="33" t="s">
        <v>64</v>
      </c>
      <c r="H81" s="3" t="s">
        <v>89</v>
      </c>
      <c r="I81" s="3"/>
      <c r="J81" s="3"/>
      <c r="K81" s="3"/>
      <c r="L81" s="3"/>
      <c r="M81" s="8"/>
    </row>
    <row r="82" spans="2:13" x14ac:dyDescent="0.25">
      <c r="B82" s="34">
        <v>115200</v>
      </c>
      <c r="C82" s="34">
        <v>16</v>
      </c>
      <c r="D82" s="35">
        <f t="shared" si="0"/>
        <v>1843200</v>
      </c>
      <c r="E82" s="36" t="s">
        <v>68</v>
      </c>
      <c r="F82" s="37">
        <f t="shared" si="1"/>
        <v>1.8431999999999999</v>
      </c>
      <c r="G82" s="38" t="s">
        <v>64</v>
      </c>
      <c r="H82" s="3"/>
      <c r="I82" s="3"/>
      <c r="J82" s="3"/>
      <c r="K82" s="3"/>
      <c r="L82" s="3"/>
      <c r="M82" s="8"/>
    </row>
    <row r="83" spans="2:13" x14ac:dyDescent="0.25">
      <c r="B83" s="7"/>
      <c r="C83" s="3"/>
      <c r="D83" s="3"/>
      <c r="E83" s="3"/>
      <c r="F83" s="3"/>
      <c r="G83" s="3"/>
      <c r="H83" s="3"/>
      <c r="I83" s="3"/>
      <c r="J83" s="3"/>
      <c r="K83" s="3"/>
      <c r="L83" s="3"/>
      <c r="M83" s="8"/>
    </row>
    <row r="84" spans="2:13" x14ac:dyDescent="0.25">
      <c r="B84" s="7" t="s">
        <v>93</v>
      </c>
      <c r="C84" s="3"/>
      <c r="D84" s="3"/>
      <c r="E84" s="3"/>
      <c r="F84" s="3"/>
      <c r="G84" s="3"/>
      <c r="H84" s="3"/>
      <c r="I84" s="3"/>
      <c r="J84" s="3"/>
      <c r="K84" s="3"/>
      <c r="L84" s="3"/>
      <c r="M84" s="8"/>
    </row>
    <row r="85" spans="2:13" x14ac:dyDescent="0.25">
      <c r="B85" s="12"/>
      <c r="C85" s="13"/>
      <c r="D85" s="13"/>
      <c r="E85" s="13"/>
      <c r="F85" s="13"/>
      <c r="G85" s="13"/>
      <c r="H85" s="13"/>
      <c r="I85" s="13"/>
      <c r="J85" s="13"/>
      <c r="K85" s="13"/>
      <c r="L85" s="13"/>
      <c r="M85" s="15"/>
    </row>
  </sheetData>
  <mergeCells count="5">
    <mergeCell ref="B38:M38"/>
    <mergeCell ref="A14:A15"/>
    <mergeCell ref="F3:M3"/>
    <mergeCell ref="AA30:AJ35"/>
    <mergeCell ref="D71:G71"/>
  </mergeCells>
  <hyperlinks>
    <hyperlink ref="B55" r:id="rId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20:L52"/>
  <sheetViews>
    <sheetView topLeftCell="A19" workbookViewId="0">
      <selection activeCell="C39" sqref="C39"/>
    </sheetView>
  </sheetViews>
  <sheetFormatPr baseColWidth="10" defaultRowHeight="15" x14ac:dyDescent="0.25"/>
  <cols>
    <col min="5" max="5" width="12" bestFit="1" customWidth="1"/>
    <col min="7" max="7" width="12" bestFit="1" customWidth="1"/>
    <col min="10" max="10" width="47.5703125" customWidth="1"/>
    <col min="11" max="11" width="14.42578125" customWidth="1"/>
    <col min="12" max="12" width="41" customWidth="1"/>
  </cols>
  <sheetData>
    <row r="20" spans="1:12" x14ac:dyDescent="0.25">
      <c r="A20" s="4"/>
      <c r="B20" s="5"/>
      <c r="C20" s="5"/>
      <c r="D20" s="5"/>
      <c r="E20" s="5"/>
      <c r="F20" s="5"/>
      <c r="G20" s="6"/>
      <c r="I20" s="3"/>
    </row>
    <row r="21" spans="1:12" x14ac:dyDescent="0.25">
      <c r="A21" s="7"/>
      <c r="B21" s="3" t="s">
        <v>65</v>
      </c>
      <c r="C21" s="3">
        <v>921.6</v>
      </c>
      <c r="D21" s="3" t="s">
        <v>51</v>
      </c>
      <c r="E21" s="3" t="s">
        <v>123</v>
      </c>
      <c r="F21" s="3">
        <v>2700</v>
      </c>
      <c r="G21" s="8" t="s">
        <v>4</v>
      </c>
      <c r="I21" s="3"/>
    </row>
    <row r="22" spans="1:12" x14ac:dyDescent="0.25">
      <c r="A22" s="7"/>
      <c r="B22" s="3" t="s">
        <v>95</v>
      </c>
      <c r="C22" s="3">
        <v>3.3</v>
      </c>
      <c r="D22" s="3" t="s">
        <v>96</v>
      </c>
      <c r="E22" s="3"/>
      <c r="F22" s="3"/>
      <c r="G22" s="8"/>
      <c r="I22" s="3"/>
    </row>
    <row r="23" spans="1:12" x14ac:dyDescent="0.25">
      <c r="A23" s="7"/>
      <c r="B23" s="3"/>
      <c r="C23" s="3"/>
      <c r="D23" s="3"/>
      <c r="E23" s="3"/>
      <c r="F23" s="3"/>
      <c r="G23" s="8"/>
      <c r="I23" s="3"/>
    </row>
    <row r="24" spans="1:12" x14ac:dyDescent="0.25">
      <c r="A24" s="7"/>
      <c r="B24" s="3"/>
      <c r="C24" s="3"/>
      <c r="D24" s="3"/>
      <c r="E24" s="45" t="s">
        <v>124</v>
      </c>
      <c r="F24" s="45"/>
      <c r="G24" s="8"/>
      <c r="I24" s="3"/>
    </row>
    <row r="25" spans="1:12" x14ac:dyDescent="0.25">
      <c r="A25" s="7" t="s">
        <v>97</v>
      </c>
      <c r="B25" s="3"/>
      <c r="C25" s="3">
        <v>0.55000000000000004</v>
      </c>
      <c r="D25" s="3" t="s">
        <v>4</v>
      </c>
      <c r="E25" s="3"/>
      <c r="F25" s="3"/>
      <c r="G25" s="8"/>
      <c r="I25" s="3"/>
    </row>
    <row r="26" spans="1:12" x14ac:dyDescent="0.25">
      <c r="A26" s="7" t="s">
        <v>98</v>
      </c>
      <c r="B26" s="3"/>
      <c r="C26" s="3">
        <v>0.09</v>
      </c>
      <c r="D26" s="3" t="s">
        <v>4</v>
      </c>
      <c r="E26" s="3"/>
      <c r="F26" s="3"/>
      <c r="G26" s="8"/>
      <c r="I26" s="3"/>
    </row>
    <row r="27" spans="1:12" x14ac:dyDescent="0.25">
      <c r="A27" s="7"/>
      <c r="B27" s="3"/>
      <c r="C27" s="3"/>
      <c r="D27" s="3"/>
      <c r="E27" s="3"/>
      <c r="F27" s="3"/>
      <c r="G27" s="8"/>
      <c r="I27" s="3"/>
    </row>
    <row r="28" spans="1:12" x14ac:dyDescent="0.25">
      <c r="A28" s="7" t="s">
        <v>15</v>
      </c>
      <c r="B28" s="3" t="s">
        <v>14</v>
      </c>
      <c r="C28" s="3">
        <v>0.5</v>
      </c>
      <c r="D28" s="3" t="s">
        <v>4</v>
      </c>
      <c r="E28" s="3">
        <f>+Timing!AI28</f>
        <v>110.546875</v>
      </c>
      <c r="F28" s="3" t="s">
        <v>35</v>
      </c>
      <c r="G28" s="8">
        <f>+C28/(3600*10^3)/(E28*12)</f>
        <v>1.0469833791388561E-10</v>
      </c>
      <c r="I28" s="3"/>
      <c r="J28" t="s">
        <v>108</v>
      </c>
      <c r="K28">
        <v>2400</v>
      </c>
      <c r="L28" s="42" t="s">
        <v>109</v>
      </c>
    </row>
    <row r="29" spans="1:12" x14ac:dyDescent="0.25">
      <c r="A29" s="7"/>
      <c r="B29" s="3" t="s">
        <v>13</v>
      </c>
      <c r="C29" s="3">
        <v>1.3999999999999999E-4</v>
      </c>
      <c r="D29" s="3" t="s">
        <v>4</v>
      </c>
      <c r="E29" s="3"/>
      <c r="F29" s="3"/>
      <c r="G29" s="8"/>
      <c r="I29" s="3"/>
      <c r="J29" t="s">
        <v>110</v>
      </c>
      <c r="K29">
        <f>+C26+C29+C33</f>
        <v>9.3439999999999995E-2</v>
      </c>
      <c r="L29" s="42" t="s">
        <v>111</v>
      </c>
    </row>
    <row r="30" spans="1:12" x14ac:dyDescent="0.25">
      <c r="A30" s="7"/>
      <c r="B30" s="3"/>
      <c r="C30" s="3"/>
      <c r="D30" s="3"/>
      <c r="E30" s="3"/>
      <c r="F30" s="3"/>
      <c r="G30" s="8"/>
      <c r="I30" s="3"/>
      <c r="J30" t="s">
        <v>112</v>
      </c>
      <c r="K30">
        <f>+C25+C28+C35+C31</f>
        <v>13.553000000000001</v>
      </c>
      <c r="L30" s="42" t="s">
        <v>111</v>
      </c>
    </row>
    <row r="31" spans="1:12" x14ac:dyDescent="0.25">
      <c r="A31" s="7" t="s">
        <v>16</v>
      </c>
      <c r="B31" s="3"/>
      <c r="C31" s="3">
        <v>3.0000000000000001E-3</v>
      </c>
      <c r="D31" s="3" t="s">
        <v>4</v>
      </c>
      <c r="E31" s="3">
        <v>110</v>
      </c>
      <c r="F31" s="3" t="s">
        <v>35</v>
      </c>
      <c r="G31" s="8">
        <f>(3600*10^3)/(E31*12)</f>
        <v>2727.2727272727275</v>
      </c>
      <c r="I31" s="3"/>
      <c r="J31" t="s">
        <v>113</v>
      </c>
      <c r="K31">
        <v>12</v>
      </c>
      <c r="L31" s="42" t="s">
        <v>114</v>
      </c>
    </row>
    <row r="32" spans="1:12" x14ac:dyDescent="0.25">
      <c r="A32" s="7"/>
      <c r="B32" s="3"/>
      <c r="C32" s="3"/>
      <c r="D32" s="3"/>
      <c r="E32" s="3"/>
      <c r="F32" s="3"/>
      <c r="G32" s="8"/>
      <c r="I32" s="3"/>
      <c r="J32" t="s">
        <v>115</v>
      </c>
      <c r="K32">
        <v>110</v>
      </c>
      <c r="L32" s="42" t="s">
        <v>116</v>
      </c>
    </row>
    <row r="33" spans="1:12" x14ac:dyDescent="0.25">
      <c r="A33" s="7" t="s">
        <v>17</v>
      </c>
      <c r="B33" s="3"/>
      <c r="C33" s="3">
        <v>3.3E-3</v>
      </c>
      <c r="D33" s="3" t="s">
        <v>4</v>
      </c>
      <c r="E33" s="3">
        <v>110</v>
      </c>
      <c r="F33" s="3" t="s">
        <v>35</v>
      </c>
      <c r="G33" s="8">
        <f>(3600*10^3)/(E33*12)</f>
        <v>2727.2727272727275</v>
      </c>
      <c r="I33" s="3"/>
    </row>
    <row r="34" spans="1:12" x14ac:dyDescent="0.25">
      <c r="A34" s="7"/>
      <c r="B34" s="3"/>
      <c r="C34" s="3"/>
      <c r="D34" s="3"/>
      <c r="E34" s="3"/>
      <c r="F34" s="3"/>
      <c r="G34" s="8"/>
      <c r="I34" s="3"/>
      <c r="K34">
        <f>2400/(K29+(K30/(K31*K32*10^-3)))</f>
        <v>231.64090792472794</v>
      </c>
      <c r="L34">
        <f>+K34/24</f>
        <v>9.6517044968636636</v>
      </c>
    </row>
    <row r="35" spans="1:12" x14ac:dyDescent="0.25">
      <c r="A35" s="7" t="s">
        <v>99</v>
      </c>
      <c r="B35" s="3"/>
      <c r="C35" s="3">
        <v>12.5</v>
      </c>
      <c r="D35" s="3" t="s">
        <v>4</v>
      </c>
      <c r="E35" s="3">
        <f>+Timing!D69</f>
        <v>4.166666666666667</v>
      </c>
      <c r="F35" s="3" t="s">
        <v>35</v>
      </c>
      <c r="G35" s="8">
        <f>(3600*10^3)/(E35*12)</f>
        <v>72000</v>
      </c>
      <c r="I35" s="3"/>
      <c r="L35">
        <f>+L34/355</f>
        <v>2.7187899991165249E-2</v>
      </c>
    </row>
    <row r="36" spans="1:12" x14ac:dyDescent="0.25">
      <c r="A36" s="7"/>
      <c r="B36" s="3"/>
      <c r="C36" s="3"/>
      <c r="D36" s="3"/>
      <c r="E36" s="3"/>
      <c r="F36" s="3"/>
      <c r="G36" s="8"/>
      <c r="I36" s="3"/>
    </row>
    <row r="37" spans="1:12" x14ac:dyDescent="0.25">
      <c r="A37" s="7"/>
      <c r="B37" s="3"/>
      <c r="C37" s="3"/>
      <c r="D37" s="3"/>
      <c r="E37" s="3"/>
      <c r="F37" s="3"/>
      <c r="G37" s="8"/>
      <c r="I37" s="3"/>
    </row>
    <row r="38" spans="1:12" x14ac:dyDescent="0.25">
      <c r="A38" s="7"/>
      <c r="B38" s="3"/>
      <c r="C38" s="3">
        <f>+C35+C33+C31+C28+C25</f>
        <v>13.5563</v>
      </c>
      <c r="D38" s="3"/>
      <c r="E38" s="3"/>
      <c r="F38" s="3"/>
      <c r="G38" s="8"/>
      <c r="I38" s="3"/>
    </row>
    <row r="39" spans="1:12" x14ac:dyDescent="0.25">
      <c r="A39">
        <f>+E35</f>
        <v>4.166666666666667</v>
      </c>
      <c r="B39" t="s">
        <v>117</v>
      </c>
      <c r="C39" s="3"/>
      <c r="D39">
        <f>+E28</f>
        <v>110.546875</v>
      </c>
      <c r="E39" t="s">
        <v>117</v>
      </c>
      <c r="G39" s="8"/>
      <c r="I39" s="3"/>
    </row>
    <row r="40" spans="1:12" x14ac:dyDescent="0.25">
      <c r="A40">
        <f>+A39*12</f>
        <v>50</v>
      </c>
      <c r="B40" t="s">
        <v>118</v>
      </c>
      <c r="C40" s="3"/>
      <c r="D40">
        <f>+D39*12</f>
        <v>1326.5625</v>
      </c>
      <c r="E40" t="s">
        <v>118</v>
      </c>
      <c r="G40" s="8"/>
      <c r="I40" s="3"/>
    </row>
    <row r="41" spans="1:12" x14ac:dyDescent="0.25">
      <c r="C41" s="3"/>
      <c r="G41" s="8"/>
      <c r="I41" s="3"/>
    </row>
    <row r="42" spans="1:12" x14ac:dyDescent="0.25">
      <c r="A42">
        <f>3600*10^3/A40</f>
        <v>72000</v>
      </c>
      <c r="B42" t="s">
        <v>19</v>
      </c>
      <c r="C42" s="3"/>
      <c r="D42" s="43">
        <f>3600*10^3/D40</f>
        <v>2713.7809187279154</v>
      </c>
      <c r="E42" t="s">
        <v>19</v>
      </c>
      <c r="G42" s="8"/>
      <c r="I42" s="3"/>
    </row>
    <row r="43" spans="1:12" x14ac:dyDescent="0.25">
      <c r="A43" s="7"/>
      <c r="B43" s="3"/>
      <c r="C43" s="3"/>
      <c r="D43" s="3"/>
      <c r="E43" s="3"/>
      <c r="F43" s="3"/>
      <c r="G43" s="8"/>
      <c r="I43" s="3"/>
    </row>
    <row r="44" spans="1:12" x14ac:dyDescent="0.25">
      <c r="A44" s="7"/>
      <c r="B44" s="40" t="s">
        <v>5</v>
      </c>
      <c r="C44" s="3">
        <f>+C25/1000+C28/D42+C31/300+C33+C35/A42</f>
        <v>4.2178559027777783E-3</v>
      </c>
      <c r="D44" s="3"/>
      <c r="E44" s="3">
        <f>+G28</f>
        <v>1.0469833791388561E-10</v>
      </c>
      <c r="F44" s="3"/>
      <c r="G44" s="8"/>
      <c r="I44" s="3"/>
    </row>
    <row r="45" spans="1:12" x14ac:dyDescent="0.25">
      <c r="A45" s="7"/>
      <c r="B45" s="40" t="s">
        <v>119</v>
      </c>
      <c r="C45" s="3">
        <f>+C26+C29+C33</f>
        <v>9.3439999999999995E-2</v>
      </c>
      <c r="D45" s="3"/>
      <c r="E45" s="3">
        <v>0.02</v>
      </c>
      <c r="F45" s="3"/>
      <c r="G45" s="8"/>
      <c r="I45" s="3"/>
    </row>
    <row r="46" spans="1:12" x14ac:dyDescent="0.25">
      <c r="A46" s="7"/>
      <c r="B46" s="3"/>
      <c r="C46" s="3">
        <f>+C45+C44</f>
        <v>9.7657855902777771E-2</v>
      </c>
      <c r="D46" s="3"/>
      <c r="E46" s="3">
        <f>+E45+E44</f>
        <v>2.0000000104698337E-2</v>
      </c>
      <c r="F46" s="3"/>
      <c r="G46" s="8"/>
      <c r="I46" s="3"/>
    </row>
    <row r="48" spans="1:12" x14ac:dyDescent="0.25">
      <c r="B48" t="s">
        <v>120</v>
      </c>
      <c r="D48">
        <v>2400</v>
      </c>
    </row>
    <row r="50" spans="3:5" x14ac:dyDescent="0.25">
      <c r="C50" s="57">
        <f>+D48/C46</f>
        <v>24575.59586797906</v>
      </c>
      <c r="D50" t="s">
        <v>121</v>
      </c>
      <c r="E50">
        <f>+D48/E46</f>
        <v>119999.99937180999</v>
      </c>
    </row>
    <row r="51" spans="3:5" x14ac:dyDescent="0.25">
      <c r="C51" s="57">
        <f>+C50/24</f>
        <v>1023.9831611657942</v>
      </c>
      <c r="D51" t="s">
        <v>25</v>
      </c>
      <c r="E51">
        <f>+E50/24</f>
        <v>4999.9999738254164</v>
      </c>
    </row>
    <row r="52" spans="3:5" x14ac:dyDescent="0.25">
      <c r="C52" s="57">
        <f>+C51/355</f>
        <v>2.8844596089177301</v>
      </c>
      <c r="D52" t="s">
        <v>122</v>
      </c>
    </row>
  </sheetData>
  <mergeCells count="1">
    <mergeCell ref="E24:F2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Timing</vt:lpstr>
      <vt:lpstr>Conso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Raphael Morlon</dc:creator>
  <cp:lastModifiedBy>Raphael Morlon</cp:lastModifiedBy>
  <dcterms:created xsi:type="dcterms:W3CDTF">2015-03-09T08:19:55Z</dcterms:created>
  <dcterms:modified xsi:type="dcterms:W3CDTF">2015-03-19T12:17:24Z</dcterms:modified>
</cp:coreProperties>
</file>