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omments2.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omments3.xml" ContentType="application/vnd.openxmlformats-officedocument.spreadsheetml.comment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ber.COMILEV\Desktop\"/>
    </mc:Choice>
  </mc:AlternateContent>
  <bookViews>
    <workbookView xWindow="0" yWindow="0" windowWidth="23040" windowHeight="9408" tabRatio="850" activeTab="2"/>
  </bookViews>
  <sheets>
    <sheet name="Demarche cis" sheetId="23" r:id="rId1"/>
    <sheet name="CIN" sheetId="2" r:id="rId2"/>
    <sheet name="Table3" sheetId="22" r:id="rId3"/>
    <sheet name="Table double" sheetId="21" r:id="rId4"/>
  </sheets>
  <definedNames>
    <definedName name="_Pb1" localSheetId="2">Table3!$J$7</definedName>
    <definedName name="_Pb1">'Table double'!$D$11</definedName>
    <definedName name="_Pb2" localSheetId="2">Table3!$K$7</definedName>
    <definedName name="_Pb2">'Table double'!$E$11</definedName>
    <definedName name="_Pb3" localSheetId="2">Table3!$L$7</definedName>
    <definedName name="_Pb3">'Table double'!$F$11</definedName>
    <definedName name="_Pb4" localSheetId="2">Table3!$M$7</definedName>
    <definedName name="_Pb4">'Table double'!$G$11</definedName>
    <definedName name="_Pb5">Table3!$N$7</definedName>
    <definedName name="_Pb6">Table3!$O$7</definedName>
    <definedName name="_Xg1" localSheetId="2">Table3!$AD$18:$AD$51</definedName>
    <definedName name="_Xg1">'Table double'!$AG$19:$AG$52</definedName>
    <definedName name="_Xg2" localSheetId="2">Table3!$AE$18:$AE$51</definedName>
    <definedName name="_Xg2">'Table double'!$AH$19:$AH$52</definedName>
    <definedName name="_Xg3" localSheetId="2">Table3!$AF$18:$AF$51</definedName>
    <definedName name="_Xg3">'Table double'!$AI$19:$AI$52</definedName>
    <definedName name="_Xg4" localSheetId="2">Table3!$AG$18:$AG$51</definedName>
    <definedName name="_Xg4">'Table double'!$AJ$19:$AJ$52</definedName>
    <definedName name="_Xg5">Table3!$AH$18:$AH$51</definedName>
    <definedName name="_Xg6">Table3!$AI$18:$AI$51</definedName>
    <definedName name="a" localSheetId="2">Table3!$AC$7</definedName>
    <definedName name="a">'Table double'!$H$11</definedName>
    <definedName name="a_" localSheetId="2">Table3!$AE$7</definedName>
    <definedName name="AD">'Table double'!$B$7</definedName>
    <definedName name="AI" localSheetId="2">Table3!$B$7</definedName>
    <definedName name="alpha" localSheetId="2">Table3!$BI$18:$BI$51</definedName>
    <definedName name="alpha">'Table double'!$BD$19:$BD$52</definedName>
    <definedName name="b" localSheetId="2">Table3!$AD$7</definedName>
    <definedName name="b">'Table double'!$I$11</definedName>
    <definedName name="b_" localSheetId="2">Table3!$AF$7</definedName>
    <definedName name="beta" localSheetId="3">'Table double'!$BE$19:$BE$52</definedName>
    <definedName name="beta" localSheetId="2">Table3!$BJ$18:$BJ$51</definedName>
    <definedName name="beta">CIN!$C$15</definedName>
    <definedName name="Charge" localSheetId="2">Table3!$H$7</definedName>
    <definedName name="Charge">'Table double'!$B$11</definedName>
    <definedName name="d">'Table double'!$H$15</definedName>
    <definedName name="DS">'Table double'!$C$7</definedName>
    <definedName name="e">'Table double'!$I$15</definedName>
    <definedName name="EM">'Table double'!$F$7</definedName>
    <definedName name="EN">'Table double'!$E$7</definedName>
    <definedName name="f">'Table double'!$F$15</definedName>
    <definedName name="Fgx">Table3!$AV$18:$AV$51</definedName>
    <definedName name="Fgy" localSheetId="2">Table3!$AW$18:$AW$51</definedName>
    <definedName name="Fhx">Table3!$AX$18:$AX$51</definedName>
    <definedName name="Fhy" localSheetId="2">Table3!$AY$18:$AY$51</definedName>
    <definedName name="Fix" localSheetId="2">Table3!$AZ$18:$AZ$51</definedName>
    <definedName name="Fiy" localSheetId="2">Table3!$BA$18:$BA$51</definedName>
    <definedName name="Fjx" localSheetId="2">Table3!$BB$18:$BB$51</definedName>
    <definedName name="Fjy" localSheetId="2">Table3!$BC$18:$BC$51</definedName>
    <definedName name="Fkx">Table3!$BD$18:$BD$51</definedName>
    <definedName name="Fky">Table3!$BE$18:$BE$51</definedName>
    <definedName name="Fvx" localSheetId="2">Table3!$BF$18:$BF$51</definedName>
    <definedName name="Fvy" localSheetId="2">Table3!$BG$18:$BG$51</definedName>
    <definedName name="Fxb">'Table double'!$AL$19:$AL$52</definedName>
    <definedName name="Fxd">'Table double'!$AY$19:$AY$52</definedName>
    <definedName name="Fxe">'Table double'!$AN$19:$AN$52</definedName>
    <definedName name="Fxt">'Table double'!$AT$19:$AT$52</definedName>
    <definedName name="Fxv">'Table double'!$AW$19:$AW$52</definedName>
    <definedName name="Fyb">'Table double'!$AM$19:$AM$52</definedName>
    <definedName name="Fyd">'Table double'!$AZ$19:$AZ$52</definedName>
    <definedName name="Fye">'Table double'!$AO$19:$AO$52</definedName>
    <definedName name="Fyt">'Table double'!$AU$19:$AU$52</definedName>
    <definedName name="Fyv">'Table double'!$AX$19:$AX$52</definedName>
    <definedName name="g">'Table double'!$G$15</definedName>
    <definedName name="h" localSheetId="3">'Table double'!$D$15</definedName>
    <definedName name="HM" localSheetId="2">Table3!$D$7</definedName>
    <definedName name="HN" localSheetId="2">Table3!$C$7</definedName>
    <definedName name="i">'Table double'!$E$15</definedName>
    <definedName name="j">'Table double'!$B$15</definedName>
    <definedName name="JH">'Table double'!$C$19:$C$52</definedName>
    <definedName name="k">'Table double'!$C$15</definedName>
    <definedName name="l_" localSheetId="2">Table3!$Q$7</definedName>
    <definedName name="Lv" localSheetId="2">Table3!$C$18:$C$51</definedName>
    <definedName name="Lv">CIN!$C$14</definedName>
    <definedName name="m" localSheetId="2">Table3!$R$7</definedName>
    <definedName name="n" localSheetId="2">Table3!$S$7</definedName>
    <definedName name="o" localSheetId="2">Table3!$T$7</definedName>
    <definedName name="P" localSheetId="3">'Table double'!$B$19:$B$52</definedName>
    <definedName name="P" localSheetId="2">Table3!$B$18:$B$51</definedName>
    <definedName name="p_" localSheetId="2">Table3!$U$7</definedName>
    <definedName name="Pb" localSheetId="2">Table3!$E$7</definedName>
    <definedName name="Pb">'Table double'!$G$7</definedName>
    <definedName name="Ph" localSheetId="2">Table3!$F$7</definedName>
    <definedName name="Ph">'Table double'!$H$7</definedName>
    <definedName name="PP" localSheetId="2">Table3!$B$13</definedName>
    <definedName name="PP">'Table double'!$B$59</definedName>
    <definedName name="Pt" localSheetId="2">Table3!$I$7</definedName>
    <definedName name="Pt">'Table double'!$C$11</definedName>
    <definedName name="q" localSheetId="2">Table3!$V$7</definedName>
    <definedName name="r_" localSheetId="2">Table3!$W$7</definedName>
    <definedName name="Rax" localSheetId="2">Table3!$AK$18:$AK$51</definedName>
    <definedName name="Ray" localSheetId="2">Table3!$AL$18:$AL$51</definedName>
    <definedName name="Rbx" localSheetId="2">Table3!$AM$18:$AM$51</definedName>
    <definedName name="Rby" localSheetId="2">Table3!$AN$18:$AN$51</definedName>
    <definedName name="Rcy" localSheetId="2">Table3!$AO$18:$AO$51</definedName>
    <definedName name="Rdx" localSheetId="2">Table3!$AP$18:$AP$51</definedName>
    <definedName name="Rdy" localSheetId="2">Table3!$AQ$18:$AQ$51</definedName>
    <definedName name="Rex" localSheetId="2">Table3!$AR$18:$AR$51</definedName>
    <definedName name="Rey">Table3!$AS$18:$AS$51</definedName>
    <definedName name="Rfx" localSheetId="2">Table3!$AT$18:$AT$51</definedName>
    <definedName name="Rfy">Table3!$AU$18:$AU$51</definedName>
    <definedName name="Rxa">'Table double'!$BA$19:$BA$52</definedName>
    <definedName name="Rxr">'Table double'!$AP$19:$AP$52</definedName>
    <definedName name="Rxs">'Table double'!$AR$19:$AR$52</definedName>
    <definedName name="Rya">'Table double'!$BB$19:$BB$52</definedName>
    <definedName name="Ryc">'Table double'!$AV$19:$AV$52</definedName>
    <definedName name="Ryr">'Table double'!$AQ$19:$AQ$52</definedName>
    <definedName name="Rys">'Table double'!$AS$19:$AS$52</definedName>
    <definedName name="s" localSheetId="2">Table3!$X$7</definedName>
    <definedName name="t">Table3!$Y$7</definedName>
    <definedName name="Ta">CIN!$C$10</definedName>
    <definedName name="TE">'Table double'!$D$7</definedName>
    <definedName name="u">Table3!$Z$7</definedName>
    <definedName name="v">Table3!$AA$7</definedName>
    <definedName name="w">Table3!$AB$7</definedName>
    <definedName name="Xb" localSheetId="2">Table3!$F$18:$F$51</definedName>
    <definedName name="Xb">'Table double'!$Q$19:$Q$52</definedName>
    <definedName name="Xc" localSheetId="2">Table3!$H$18:$H$51</definedName>
    <definedName name="Xc">'Table double'!$S$19:$S$52</definedName>
    <definedName name="Xd" localSheetId="2">Table3!$J$18:$J$51</definedName>
    <definedName name="Xd">'Table double'!$U$19:$U$52</definedName>
    <definedName name="Xe" localSheetId="2">Table3!$L$18:$L$51</definedName>
    <definedName name="Xe">'Table double'!$W$19:$W$52</definedName>
    <definedName name="Xf" localSheetId="2">Table3!$N$18:$N$51</definedName>
    <definedName name="Xg">Table3!$P$18:$P$51</definedName>
    <definedName name="Xh">'Table double'!$Y$19:$Y$52</definedName>
    <definedName name="xh_">Table3!$R$18:$R$51</definedName>
    <definedName name="Xi" localSheetId="2">Table3!$T$18:$T$51</definedName>
    <definedName name="Xj" localSheetId="2">Table3!$V$18:$V$51</definedName>
    <definedName name="Xj">'Table double'!$J$11</definedName>
    <definedName name="Xk">Table3!$X$18:$X$51</definedName>
    <definedName name="Xr">'Table double'!$AA$19:$AA$52</definedName>
    <definedName name="Xs">'Table double'!$AC$19:$AC$52</definedName>
    <definedName name="Xt">'Table double'!$AE$19:$AE$52</definedName>
    <definedName name="Xvrb">Table3!$AB$18:$AB$51</definedName>
    <definedName name="Xvrh" localSheetId="2">Table3!$Z$18:$Z$51</definedName>
    <definedName name="Yb" localSheetId="2">Table3!$G$18:$G$51</definedName>
    <definedName name="Yb">'Table double'!$R$19:$R$52</definedName>
    <definedName name="Yc" localSheetId="2">Table3!$I$18:$I$51</definedName>
    <definedName name="Yc">'Table double'!$T$19:$T$52</definedName>
    <definedName name="Yd" localSheetId="2">Table3!$K$18:$K$51</definedName>
    <definedName name="Yd">'Table double'!$V$19:$V$52</definedName>
    <definedName name="Ye" localSheetId="2">Table3!$M$18:$M$51</definedName>
    <definedName name="Ye">'Table double'!$X$19:$X$52</definedName>
    <definedName name="Yf" localSheetId="2">Table3!$O$18:$O$51</definedName>
    <definedName name="Yg">Table3!$Q$18:$Q$51</definedName>
    <definedName name="Yh">'Table double'!$Z$19:$Z$52</definedName>
    <definedName name="Yh_">Table3!$S$18:$S$51</definedName>
    <definedName name="Yi" localSheetId="2">Table3!$U$18:$U$51</definedName>
    <definedName name="Yj" localSheetId="2">Table3!$W$18:$W$51</definedName>
    <definedName name="Yj">'Table double'!$K$11</definedName>
    <definedName name="Yk">Table3!$Y$18:$Y$51</definedName>
    <definedName name="Yr">'Table double'!$AB$19:$AB$52</definedName>
    <definedName name="Ys">'Table double'!$AD$19:$AD$52</definedName>
    <definedName name="Yt">'Table double'!$AF$19:$AF$52</definedName>
    <definedName name="Yvrb">Table3!$AC$18:$AC$51</definedName>
    <definedName name="Yvrh" localSheetId="2">Table3!$AA$18:$AA$51</definedName>
    <definedName name="_xlnm.Print_Area" localSheetId="1">CIN!$A$1:$K$39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19" i="22" l="1"/>
  <c r="AR20" i="22"/>
  <c r="AR21" i="22"/>
  <c r="AR22" i="22"/>
  <c r="AR23" i="22"/>
  <c r="AR24" i="22"/>
  <c r="AR25" i="22"/>
  <c r="AR26" i="22"/>
  <c r="AR27" i="22"/>
  <c r="AR28" i="22"/>
  <c r="AR29" i="22"/>
  <c r="AR30" i="22"/>
  <c r="AR31" i="22"/>
  <c r="AR32" i="22"/>
  <c r="AR33" i="22"/>
  <c r="AR34" i="22"/>
  <c r="AR35" i="22"/>
  <c r="AR36" i="22"/>
  <c r="AR37" i="22"/>
  <c r="AR38" i="22"/>
  <c r="AR39" i="22"/>
  <c r="AR40" i="22"/>
  <c r="AR41" i="22"/>
  <c r="AR42" i="22"/>
  <c r="AR43" i="22"/>
  <c r="AR44" i="22"/>
  <c r="AR45" i="22"/>
  <c r="AR46" i="22"/>
  <c r="AR47" i="22"/>
  <c r="AR48" i="22"/>
  <c r="AR49" i="22"/>
  <c r="AR50" i="22"/>
  <c r="AR51" i="22"/>
  <c r="AR18" i="22"/>
  <c r="B51" i="22"/>
  <c r="S13" i="22"/>
  <c r="Q13" i="22"/>
  <c r="M13" i="22"/>
  <c r="O13" i="22" s="1"/>
  <c r="R13" i="22"/>
  <c r="N13" i="22"/>
  <c r="J13" i="22"/>
  <c r="R51" i="22"/>
  <c r="R50" i="22"/>
  <c r="R49" i="22"/>
  <c r="R48" i="22"/>
  <c r="R47" i="22"/>
  <c r="R46" i="22"/>
  <c r="R45" i="22"/>
  <c r="R44" i="22"/>
  <c r="R43" i="22"/>
  <c r="R42" i="22"/>
  <c r="R41" i="22"/>
  <c r="R40" i="22"/>
  <c r="R39" i="22"/>
  <c r="R38" i="22"/>
  <c r="R37" i="22"/>
  <c r="R36" i="22"/>
  <c r="R35" i="22"/>
  <c r="R34" i="22"/>
  <c r="R33" i="22"/>
  <c r="R32" i="22"/>
  <c r="R31" i="22"/>
  <c r="R30" i="22"/>
  <c r="R29" i="22"/>
  <c r="R28" i="22"/>
  <c r="R27" i="22"/>
  <c r="R26" i="22"/>
  <c r="R25" i="22"/>
  <c r="R24" i="22"/>
  <c r="R23" i="22"/>
  <c r="R22" i="22"/>
  <c r="R21" i="22"/>
  <c r="R20" i="22"/>
  <c r="R19" i="22"/>
  <c r="R18" i="22"/>
  <c r="N51" i="22"/>
  <c r="N50" i="22"/>
  <c r="N49" i="22"/>
  <c r="N48" i="22"/>
  <c r="N47" i="22"/>
  <c r="N46" i="22"/>
  <c r="N45" i="22"/>
  <c r="N44" i="22"/>
  <c r="N43" i="22"/>
  <c r="N42" i="22"/>
  <c r="N41" i="22"/>
  <c r="N40" i="22"/>
  <c r="N39" i="22"/>
  <c r="N38" i="22"/>
  <c r="N37" i="22"/>
  <c r="N36" i="22"/>
  <c r="N35" i="22"/>
  <c r="N34" i="22"/>
  <c r="N33" i="22"/>
  <c r="N32" i="22"/>
  <c r="N31" i="22"/>
  <c r="N30" i="22"/>
  <c r="N29" i="22"/>
  <c r="N28" i="22"/>
  <c r="N27" i="22"/>
  <c r="N26" i="22"/>
  <c r="N25" i="22"/>
  <c r="N24" i="22"/>
  <c r="N23" i="22"/>
  <c r="N22" i="22"/>
  <c r="N21" i="22"/>
  <c r="N20" i="22"/>
  <c r="N19" i="22"/>
  <c r="N18" i="22"/>
  <c r="J51" i="22"/>
  <c r="J50" i="22"/>
  <c r="J49" i="22"/>
  <c r="J48" i="22"/>
  <c r="J47" i="22"/>
  <c r="J46" i="22"/>
  <c r="J45" i="22"/>
  <c r="J44" i="22"/>
  <c r="J43" i="22"/>
  <c r="J42" i="22"/>
  <c r="J41" i="22"/>
  <c r="J40" i="22"/>
  <c r="J39" i="22"/>
  <c r="J38" i="22"/>
  <c r="J37" i="22"/>
  <c r="J36" i="22"/>
  <c r="J35" i="22"/>
  <c r="J34" i="22"/>
  <c r="J33" i="22"/>
  <c r="J32" i="22"/>
  <c r="J31" i="22"/>
  <c r="J30" i="22"/>
  <c r="J29" i="22"/>
  <c r="J28" i="22"/>
  <c r="J27" i="22"/>
  <c r="J26" i="22"/>
  <c r="J25" i="22"/>
  <c r="J24" i="22"/>
  <c r="J23" i="22"/>
  <c r="J22" i="22"/>
  <c r="J21" i="22"/>
  <c r="J20" i="22"/>
  <c r="J19" i="22"/>
  <c r="J18" i="22"/>
  <c r="G13" i="22" l="1"/>
  <c r="Y13" i="22"/>
  <c r="W13" i="22"/>
  <c r="U13" i="22"/>
  <c r="B18" i="22"/>
  <c r="BI13" i="22"/>
  <c r="BK13" i="22" s="1"/>
  <c r="I13" i="22"/>
  <c r="I51" i="22"/>
  <c r="I50" i="22"/>
  <c r="I49" i="22"/>
  <c r="I48" i="22"/>
  <c r="I47" i="22"/>
  <c r="I46" i="22"/>
  <c r="I45" i="22"/>
  <c r="I44" i="22"/>
  <c r="I43" i="22"/>
  <c r="I42" i="22"/>
  <c r="I41" i="22"/>
  <c r="I40" i="22"/>
  <c r="I39" i="22"/>
  <c r="I38" i="22"/>
  <c r="I37" i="22"/>
  <c r="I36" i="22"/>
  <c r="I35" i="22"/>
  <c r="I34" i="22"/>
  <c r="I33" i="22"/>
  <c r="I32" i="22"/>
  <c r="I31" i="22"/>
  <c r="I30" i="22"/>
  <c r="I29" i="22"/>
  <c r="I28" i="22"/>
  <c r="I27" i="22"/>
  <c r="I26" i="22"/>
  <c r="I25" i="22"/>
  <c r="I24" i="22"/>
  <c r="I23" i="22"/>
  <c r="I22" i="22"/>
  <c r="I21" i="22"/>
  <c r="I20" i="22"/>
  <c r="I19" i="22"/>
  <c r="I18" i="22"/>
  <c r="B19" i="21"/>
  <c r="Q19" i="21" s="1"/>
  <c r="T19" i="21"/>
  <c r="BD19" i="21"/>
  <c r="BF19" i="21" s="1"/>
  <c r="T20" i="21"/>
  <c r="T21" i="21"/>
  <c r="T22" i="21"/>
  <c r="T23" i="21"/>
  <c r="T24" i="21"/>
  <c r="T25" i="21"/>
  <c r="T26" i="21"/>
  <c r="T27" i="21"/>
  <c r="T28" i="21"/>
  <c r="T29" i="21"/>
  <c r="T30" i="21"/>
  <c r="T31" i="21"/>
  <c r="T32" i="21"/>
  <c r="T33" i="21"/>
  <c r="T34" i="21"/>
  <c r="T35" i="21"/>
  <c r="T36" i="21"/>
  <c r="T37" i="21"/>
  <c r="T38" i="21"/>
  <c r="T39" i="21"/>
  <c r="T40" i="21"/>
  <c r="T41" i="21"/>
  <c r="T42" i="21"/>
  <c r="T43" i="21"/>
  <c r="T44" i="21"/>
  <c r="T45" i="21"/>
  <c r="T46" i="21"/>
  <c r="T47" i="21"/>
  <c r="T48" i="21"/>
  <c r="T49" i="21"/>
  <c r="T50" i="21"/>
  <c r="T51" i="21"/>
  <c r="T52" i="21"/>
  <c r="Q59" i="21"/>
  <c r="R59" i="21"/>
  <c r="X59" i="21" s="1"/>
  <c r="T59" i="21"/>
  <c r="U59" i="21"/>
  <c r="V59" i="21"/>
  <c r="W59" i="21"/>
  <c r="AA59" i="21"/>
  <c r="AB59" i="21"/>
  <c r="AD59" i="21" s="1"/>
  <c r="AC59" i="21"/>
  <c r="AF59" i="21"/>
  <c r="BD59" i="21"/>
  <c r="BF59" i="21" s="1"/>
  <c r="BI18" i="22" l="1"/>
  <c r="G18" i="22"/>
  <c r="K18" i="22" s="1"/>
  <c r="T13" i="22"/>
  <c r="U18" i="22"/>
  <c r="Y18" i="22"/>
  <c r="B19" i="22"/>
  <c r="Q18" i="22"/>
  <c r="S18" i="22" s="1"/>
  <c r="M18" i="22"/>
  <c r="O18" i="22" s="1"/>
  <c r="T18" i="22"/>
  <c r="W18" i="22"/>
  <c r="K13" i="22"/>
  <c r="Z59" i="21"/>
  <c r="AG59" i="21"/>
  <c r="AE59" i="21"/>
  <c r="AC19" i="21"/>
  <c r="W19" i="21"/>
  <c r="AI59" i="21"/>
  <c r="AM59" i="21"/>
  <c r="AO59" i="21" s="1"/>
  <c r="S59" i="21"/>
  <c r="AB19" i="21"/>
  <c r="AD19" i="21" s="1"/>
  <c r="V19" i="21"/>
  <c r="R19" i="21"/>
  <c r="X19" i="21" s="1"/>
  <c r="Y59" i="21"/>
  <c r="C59" i="21" s="1"/>
  <c r="B20" i="21"/>
  <c r="B21" i="21" s="1"/>
  <c r="AF19" i="21"/>
  <c r="AA19" i="21"/>
  <c r="U19" i="21"/>
  <c r="AJ59" i="21"/>
  <c r="AH59" i="21"/>
  <c r="AM19" i="21"/>
  <c r="AO19" i="21" s="1"/>
  <c r="AA20" i="21"/>
  <c r="Y19" i="21"/>
  <c r="AF20" i="21"/>
  <c r="BI19" i="22" l="1"/>
  <c r="BK18" i="22"/>
  <c r="AH18" i="22"/>
  <c r="AI18" i="22"/>
  <c r="AA13" i="22"/>
  <c r="AD13" i="22"/>
  <c r="AG13" i="22"/>
  <c r="AE13" i="22"/>
  <c r="Z19" i="21"/>
  <c r="BE59" i="21"/>
  <c r="BG59" i="21" s="1"/>
  <c r="V13" i="22"/>
  <c r="X13" i="22"/>
  <c r="P13" i="22"/>
  <c r="AB13" i="22"/>
  <c r="F13" i="22"/>
  <c r="Z13" i="22"/>
  <c r="H13" i="22"/>
  <c r="AC13" i="22"/>
  <c r="L13" i="22"/>
  <c r="AW13" i="22" s="1"/>
  <c r="AY13" i="22" s="1"/>
  <c r="L18" i="22"/>
  <c r="AW18" i="22" s="1"/>
  <c r="AY18" i="22" s="1"/>
  <c r="AD18" i="22"/>
  <c r="P18" i="22"/>
  <c r="AC18" i="22"/>
  <c r="X18" i="22"/>
  <c r="Z18" i="22"/>
  <c r="B20" i="22"/>
  <c r="Q19" i="22"/>
  <c r="S19" i="22" s="1"/>
  <c r="W19" i="22"/>
  <c r="T19" i="22"/>
  <c r="G19" i="22"/>
  <c r="Y19" i="22"/>
  <c r="U19" i="22"/>
  <c r="M19" i="22"/>
  <c r="O19" i="22" s="1"/>
  <c r="AA18" i="22"/>
  <c r="F18" i="22"/>
  <c r="AB18" i="22"/>
  <c r="H18" i="22"/>
  <c r="AF13" i="22"/>
  <c r="AG18" i="22"/>
  <c r="AE18" i="22"/>
  <c r="AF18" i="22"/>
  <c r="V18" i="22"/>
  <c r="BD20" i="21"/>
  <c r="BF20" i="21" s="1"/>
  <c r="W20" i="21"/>
  <c r="AH19" i="21"/>
  <c r="C19" i="21"/>
  <c r="AB20" i="21"/>
  <c r="AD20" i="21" s="1"/>
  <c r="U20" i="21"/>
  <c r="Q20" i="21"/>
  <c r="AM20" i="21" s="1"/>
  <c r="AO20" i="21" s="1"/>
  <c r="V20" i="21"/>
  <c r="AH20" i="21" s="1"/>
  <c r="R20" i="21"/>
  <c r="X20" i="21" s="1"/>
  <c r="AC20" i="21"/>
  <c r="AQ59" i="21"/>
  <c r="AU59" i="21" s="1"/>
  <c r="AS59" i="21" s="1"/>
  <c r="AE19" i="21"/>
  <c r="AP19" i="21" s="1"/>
  <c r="S19" i="21"/>
  <c r="AI19" i="21"/>
  <c r="AJ19" i="21"/>
  <c r="AG19" i="21"/>
  <c r="AP59" i="21"/>
  <c r="R21" i="21"/>
  <c r="X21" i="21" s="1"/>
  <c r="V21" i="21"/>
  <c r="AB21" i="21"/>
  <c r="AD21" i="21" s="1"/>
  <c r="AF21" i="21"/>
  <c r="BD21" i="21"/>
  <c r="BF21" i="21" s="1"/>
  <c r="B22" i="21"/>
  <c r="Q21" i="21"/>
  <c r="U21" i="21"/>
  <c r="AC21" i="21"/>
  <c r="W21" i="21"/>
  <c r="AA21" i="21"/>
  <c r="AQ19" i="21"/>
  <c r="AU19" i="21" s="1"/>
  <c r="BE19" i="21"/>
  <c r="BG19" i="21" s="1"/>
  <c r="BI20" i="22" l="1"/>
  <c r="W20" i="22"/>
  <c r="BK19" i="22"/>
  <c r="AH19" i="22"/>
  <c r="AI19" i="22"/>
  <c r="AI13" i="22"/>
  <c r="AH13" i="22"/>
  <c r="AT19" i="21"/>
  <c r="AR19" i="21" s="1"/>
  <c r="Z20" i="21"/>
  <c r="C13" i="22"/>
  <c r="BJ13" i="22" s="1"/>
  <c r="BL13" i="22" s="1"/>
  <c r="C18" i="22"/>
  <c r="BJ18" i="22" s="1"/>
  <c r="AC19" i="22"/>
  <c r="B21" i="22"/>
  <c r="AA19" i="22"/>
  <c r="K19" i="22"/>
  <c r="P19" i="22"/>
  <c r="Z19" i="22"/>
  <c r="L19" i="22"/>
  <c r="AW19" i="22" s="1"/>
  <c r="AY19" i="22" s="1"/>
  <c r="AB19" i="22"/>
  <c r="F19" i="22"/>
  <c r="X19" i="22"/>
  <c r="Q20" i="22"/>
  <c r="S20" i="22" s="1"/>
  <c r="M20" i="22"/>
  <c r="O20" i="22" s="1"/>
  <c r="T20" i="22"/>
  <c r="U20" i="22"/>
  <c r="G20" i="22"/>
  <c r="Y20" i="22"/>
  <c r="AM13" i="22"/>
  <c r="BB13" i="22" s="1"/>
  <c r="AP13" i="22" s="1"/>
  <c r="AN13" i="22"/>
  <c r="BC13" i="22" s="1"/>
  <c r="AQ13" i="22" s="1"/>
  <c r="AN18" i="22"/>
  <c r="BC18" i="22" s="1"/>
  <c r="AQ18" i="22" s="1"/>
  <c r="AG19" i="22"/>
  <c r="AE19" i="22"/>
  <c r="AM18" i="22"/>
  <c r="AD19" i="22"/>
  <c r="V19" i="22"/>
  <c r="H19" i="22"/>
  <c r="AF19" i="22"/>
  <c r="Y20" i="21"/>
  <c r="AJ20" i="21"/>
  <c r="AG20" i="21"/>
  <c r="AE20" i="21"/>
  <c r="AI20" i="21"/>
  <c r="S20" i="21"/>
  <c r="AH21" i="21"/>
  <c r="AM21" i="21"/>
  <c r="AO21" i="21" s="1"/>
  <c r="Z21" i="21"/>
  <c r="AB22" i="21"/>
  <c r="AD22" i="21" s="1"/>
  <c r="AF22" i="21"/>
  <c r="BD22" i="21"/>
  <c r="BF22" i="21" s="1"/>
  <c r="B23" i="21"/>
  <c r="R22" i="21"/>
  <c r="X22" i="21" s="1"/>
  <c r="V22" i="21"/>
  <c r="W22" i="21"/>
  <c r="AA22" i="21"/>
  <c r="U22" i="21"/>
  <c r="Q22" i="21"/>
  <c r="AM22" i="21" s="1"/>
  <c r="AO22" i="21" s="1"/>
  <c r="AC22" i="21"/>
  <c r="AJ21" i="21"/>
  <c r="Y21" i="21"/>
  <c r="AG21" i="21"/>
  <c r="AQ21" i="21" s="1"/>
  <c r="AS19" i="21"/>
  <c r="AI21" i="21"/>
  <c r="AE21" i="21"/>
  <c r="S21" i="21"/>
  <c r="AT59" i="21"/>
  <c r="AR59" i="21" s="1"/>
  <c r="BI21" i="22" l="1"/>
  <c r="BK20" i="22"/>
  <c r="H20" i="22"/>
  <c r="AH20" i="22"/>
  <c r="AI20" i="22"/>
  <c r="AX19" i="21"/>
  <c r="AW19" i="21" s="1"/>
  <c r="BB18" i="22"/>
  <c r="AP18" i="22" s="1"/>
  <c r="C19" i="22"/>
  <c r="B22" i="22"/>
  <c r="AC20" i="22"/>
  <c r="AA20" i="22"/>
  <c r="Q21" i="22"/>
  <c r="S21" i="22" s="1"/>
  <c r="M21" i="22"/>
  <c r="O21" i="22" s="1"/>
  <c r="G21" i="22"/>
  <c r="K21" i="22" s="1"/>
  <c r="W21" i="22"/>
  <c r="T21" i="22"/>
  <c r="Y21" i="22"/>
  <c r="U21" i="22"/>
  <c r="L20" i="22"/>
  <c r="AW20" i="22" s="1"/>
  <c r="AY20" i="22" s="1"/>
  <c r="P20" i="22"/>
  <c r="F20" i="22"/>
  <c r="X20" i="22"/>
  <c r="AB20" i="22"/>
  <c r="Z20" i="22"/>
  <c r="K20" i="22"/>
  <c r="AO13" i="22"/>
  <c r="BG13" i="22"/>
  <c r="BF13" i="22" s="1"/>
  <c r="AZ13" i="22" s="1"/>
  <c r="AK13" i="22" s="1"/>
  <c r="V20" i="22"/>
  <c r="AE20" i="22"/>
  <c r="AD20" i="22"/>
  <c r="AG20" i="22"/>
  <c r="AF20" i="22"/>
  <c r="AM19" i="22"/>
  <c r="AN19" i="22"/>
  <c r="AP20" i="21"/>
  <c r="AT20" i="21" s="1"/>
  <c r="AR20" i="21" s="1"/>
  <c r="AP21" i="21"/>
  <c r="AT21" i="21" s="1"/>
  <c r="AR21" i="21" s="1"/>
  <c r="C21" i="21"/>
  <c r="C20" i="21"/>
  <c r="BE20" i="21"/>
  <c r="BG20" i="21" s="1"/>
  <c r="AQ20" i="21"/>
  <c r="AU20" i="21" s="1"/>
  <c r="AS20" i="21" s="1"/>
  <c r="AU21" i="21"/>
  <c r="AS21" i="21" s="1"/>
  <c r="AV59" i="21"/>
  <c r="AX59" i="21"/>
  <c r="AW59" i="21" s="1"/>
  <c r="AV19" i="21"/>
  <c r="AZ19" i="21" s="1"/>
  <c r="BB19" i="21" s="1"/>
  <c r="AJ22" i="21"/>
  <c r="AG22" i="21"/>
  <c r="Y22" i="21"/>
  <c r="AP22" i="21"/>
  <c r="AH22" i="21"/>
  <c r="S22" i="21"/>
  <c r="AE22" i="21"/>
  <c r="AI22" i="21"/>
  <c r="Z22" i="21"/>
  <c r="BE21" i="21"/>
  <c r="BG21" i="21" s="1"/>
  <c r="D19" i="21"/>
  <c r="AY19" i="21"/>
  <c r="BA19" i="21" s="1"/>
  <c r="R23" i="21"/>
  <c r="X23" i="21" s="1"/>
  <c r="V23" i="21"/>
  <c r="Q23" i="21"/>
  <c r="W23" i="21"/>
  <c r="AB23" i="21"/>
  <c r="AD23" i="21" s="1"/>
  <c r="AA23" i="21"/>
  <c r="B24" i="21"/>
  <c r="U23" i="21"/>
  <c r="AC23" i="21"/>
  <c r="AF23" i="21"/>
  <c r="BD23" i="21"/>
  <c r="BF23" i="21" s="1"/>
  <c r="BI22" i="22" l="1"/>
  <c r="BK21" i="22"/>
  <c r="BL18" i="22"/>
  <c r="V21" i="22"/>
  <c r="AH21" i="22"/>
  <c r="AI21" i="22"/>
  <c r="AV20" i="21"/>
  <c r="AQ22" i="21"/>
  <c r="BC19" i="22"/>
  <c r="AQ19" i="22" s="1"/>
  <c r="BB19" i="22"/>
  <c r="AP19" i="22" s="1"/>
  <c r="AZ19" i="22" s="1"/>
  <c r="BG18" i="22"/>
  <c r="BF18" i="22" s="1"/>
  <c r="AK18" i="22" s="1"/>
  <c r="AZ18" i="22"/>
  <c r="AO18" i="22"/>
  <c r="BA18" i="22" s="1"/>
  <c r="B23" i="22"/>
  <c r="AA21" i="22"/>
  <c r="M22" i="22"/>
  <c r="O22" i="22" s="1"/>
  <c r="Q22" i="22"/>
  <c r="S22" i="22" s="1"/>
  <c r="Y22" i="22"/>
  <c r="U22" i="22"/>
  <c r="T22" i="22"/>
  <c r="G22" i="22"/>
  <c r="W22" i="22"/>
  <c r="C20" i="22"/>
  <c r="AC21" i="22"/>
  <c r="AB21" i="22"/>
  <c r="L21" i="22"/>
  <c r="AW21" i="22" s="1"/>
  <c r="AY21" i="22" s="1"/>
  <c r="F21" i="22"/>
  <c r="P21" i="22"/>
  <c r="X21" i="22"/>
  <c r="Z21" i="22"/>
  <c r="D13" i="22"/>
  <c r="BA13" i="22"/>
  <c r="AL13" i="22" s="1"/>
  <c r="K22" i="22"/>
  <c r="BK22" i="22"/>
  <c r="H21" i="22"/>
  <c r="AE21" i="22"/>
  <c r="AM20" i="22"/>
  <c r="AN20" i="22"/>
  <c r="AD21" i="22"/>
  <c r="AF21" i="22"/>
  <c r="AG21" i="22"/>
  <c r="AX20" i="21"/>
  <c r="AW20" i="21" s="1"/>
  <c r="D20" i="21" s="1"/>
  <c r="AZ59" i="21"/>
  <c r="BB59" i="21" s="1"/>
  <c r="AX21" i="21"/>
  <c r="AW21" i="21" s="1"/>
  <c r="D21" i="21" s="1"/>
  <c r="AB24" i="21"/>
  <c r="AD24" i="21" s="1"/>
  <c r="AF24" i="21"/>
  <c r="BD24" i="21"/>
  <c r="BF24" i="21" s="1"/>
  <c r="B25" i="21"/>
  <c r="R24" i="21"/>
  <c r="X24" i="21" s="1"/>
  <c r="V24" i="21"/>
  <c r="AA24" i="21"/>
  <c r="U24" i="21"/>
  <c r="AC24" i="21"/>
  <c r="W24" i="21"/>
  <c r="Q24" i="21"/>
  <c r="AM23" i="21"/>
  <c r="AO23" i="21" s="1"/>
  <c r="AG23" i="21"/>
  <c r="AJ23" i="21"/>
  <c r="Y23" i="21"/>
  <c r="Z23" i="21"/>
  <c r="AT22" i="21"/>
  <c r="AR22" i="21" s="1"/>
  <c r="AU22" i="21"/>
  <c r="AS22" i="21" s="1"/>
  <c r="AX22" i="21" s="1"/>
  <c r="AW22" i="21" s="1"/>
  <c r="AY20" i="21"/>
  <c r="BA20" i="21" s="1"/>
  <c r="C22" i="21"/>
  <c r="D59" i="21"/>
  <c r="AY59" i="21"/>
  <c r="BA59" i="21" s="1"/>
  <c r="AV21" i="21"/>
  <c r="AI23" i="21"/>
  <c r="S23" i="21"/>
  <c r="AE23" i="21"/>
  <c r="AH23" i="21"/>
  <c r="BE22" i="21"/>
  <c r="BG22" i="21" s="1"/>
  <c r="BI23" i="22" l="1"/>
  <c r="BJ19" i="22"/>
  <c r="BL19" i="22" s="1"/>
  <c r="H22" i="22"/>
  <c r="AH22" i="22"/>
  <c r="AI22" i="22"/>
  <c r="AO19" i="22"/>
  <c r="BA19" i="22" s="1"/>
  <c r="BC20" i="22"/>
  <c r="AQ20" i="22" s="1"/>
  <c r="BB20" i="22"/>
  <c r="AP20" i="22" s="1"/>
  <c r="AZ20" i="22" s="1"/>
  <c r="BG19" i="22"/>
  <c r="BF19" i="22" s="1"/>
  <c r="B24" i="22"/>
  <c r="AC22" i="22"/>
  <c r="AA22" i="22"/>
  <c r="C21" i="22"/>
  <c r="F22" i="22"/>
  <c r="L22" i="22"/>
  <c r="AW22" i="22" s="1"/>
  <c r="AY22" i="22" s="1"/>
  <c r="P22" i="22"/>
  <c r="X22" i="22"/>
  <c r="AB22" i="22"/>
  <c r="Z22" i="22"/>
  <c r="Q23" i="22"/>
  <c r="S23" i="22" s="1"/>
  <c r="M23" i="22"/>
  <c r="O23" i="22" s="1"/>
  <c r="Y23" i="22"/>
  <c r="U23" i="22"/>
  <c r="W23" i="22"/>
  <c r="T23" i="22"/>
  <c r="G23" i="22"/>
  <c r="K23" i="22" s="1"/>
  <c r="V22" i="22"/>
  <c r="AN21" i="22"/>
  <c r="AF22" i="22"/>
  <c r="BK23" i="22"/>
  <c r="AE22" i="22"/>
  <c r="AG22" i="22"/>
  <c r="AD22" i="22"/>
  <c r="AM21" i="22"/>
  <c r="AZ21" i="21"/>
  <c r="BB21" i="21" s="1"/>
  <c r="AY21" i="21"/>
  <c r="BA21" i="21" s="1"/>
  <c r="AM24" i="21"/>
  <c r="AO24" i="21" s="1"/>
  <c r="AZ20" i="21"/>
  <c r="BB20" i="21" s="1"/>
  <c r="AQ23" i="21"/>
  <c r="AU23" i="21" s="1"/>
  <c r="AS23" i="21" s="1"/>
  <c r="AP23" i="21"/>
  <c r="AT23" i="21" s="1"/>
  <c r="AR23" i="21" s="1"/>
  <c r="D22" i="21"/>
  <c r="AY22" i="21"/>
  <c r="BA22" i="21" s="1"/>
  <c r="BE23" i="21"/>
  <c r="BG23" i="21" s="1"/>
  <c r="Z24" i="21"/>
  <c r="AH24" i="21"/>
  <c r="AI24" i="21"/>
  <c r="S24" i="21"/>
  <c r="AE24" i="21"/>
  <c r="AJ24" i="21"/>
  <c r="AG24" i="21"/>
  <c r="Y24" i="21"/>
  <c r="C23" i="21"/>
  <c r="R25" i="21"/>
  <c r="X25" i="21" s="1"/>
  <c r="V25" i="21"/>
  <c r="Q25" i="21"/>
  <c r="W25" i="21"/>
  <c r="AB25" i="21"/>
  <c r="AD25" i="21" s="1"/>
  <c r="AA25" i="21"/>
  <c r="B26" i="21"/>
  <c r="U25" i="21"/>
  <c r="AC25" i="21"/>
  <c r="AF25" i="21"/>
  <c r="BD25" i="21"/>
  <c r="BF25" i="21" s="1"/>
  <c r="AV22" i="21"/>
  <c r="AZ22" i="21" s="1"/>
  <c r="BB22" i="21" s="1"/>
  <c r="BI24" i="22" l="1"/>
  <c r="BJ20" i="22"/>
  <c r="BL20" i="22" s="1"/>
  <c r="AH23" i="22"/>
  <c r="AI23" i="22"/>
  <c r="AO20" i="22"/>
  <c r="BA20" i="22" s="1"/>
  <c r="BG20" i="22"/>
  <c r="BF20" i="22" s="1"/>
  <c r="AK20" i="22" s="1"/>
  <c r="BC21" i="22"/>
  <c r="AQ21" i="22" s="1"/>
  <c r="AK19" i="22"/>
  <c r="BB21" i="22"/>
  <c r="AP21" i="22" s="1"/>
  <c r="AZ21" i="22" s="1"/>
  <c r="AL19" i="22"/>
  <c r="B25" i="22"/>
  <c r="AA23" i="22"/>
  <c r="P23" i="22"/>
  <c r="L23" i="22"/>
  <c r="AW23" i="22" s="1"/>
  <c r="AY23" i="22" s="1"/>
  <c r="F23" i="22"/>
  <c r="Z23" i="22"/>
  <c r="X23" i="22"/>
  <c r="AB23" i="22"/>
  <c r="H23" i="22"/>
  <c r="Q24" i="22"/>
  <c r="S24" i="22" s="1"/>
  <c r="M24" i="22"/>
  <c r="O24" i="22" s="1"/>
  <c r="W24" i="22"/>
  <c r="T24" i="22"/>
  <c r="G24" i="22"/>
  <c r="Y24" i="22"/>
  <c r="U24" i="22"/>
  <c r="AC23" i="22"/>
  <c r="C22" i="22"/>
  <c r="AF23" i="22"/>
  <c r="AM22" i="22"/>
  <c r="V23" i="22"/>
  <c r="AG23" i="22"/>
  <c r="AE23" i="22"/>
  <c r="AN22" i="22"/>
  <c r="BC22" i="22" s="1"/>
  <c r="AQ22" i="22" s="1"/>
  <c r="AD23" i="22"/>
  <c r="AV23" i="21"/>
  <c r="AX23" i="21"/>
  <c r="AW23" i="21" s="1"/>
  <c r="D23" i="21" s="1"/>
  <c r="AQ24" i="21"/>
  <c r="AU24" i="21" s="1"/>
  <c r="AS24" i="21" s="1"/>
  <c r="AG25" i="21"/>
  <c r="AJ25" i="21"/>
  <c r="Y25" i="21"/>
  <c r="Z25" i="21"/>
  <c r="AI25" i="21"/>
  <c r="S25" i="21"/>
  <c r="AE25" i="21"/>
  <c r="AH25" i="21"/>
  <c r="AB26" i="21"/>
  <c r="AD26" i="21" s="1"/>
  <c r="AF26" i="21"/>
  <c r="BD26" i="21"/>
  <c r="BF26" i="21" s="1"/>
  <c r="B27" i="21"/>
  <c r="R26" i="21"/>
  <c r="X26" i="21" s="1"/>
  <c r="V26" i="21"/>
  <c r="AA26" i="21"/>
  <c r="U26" i="21"/>
  <c r="AC26" i="21"/>
  <c r="Q26" i="21"/>
  <c r="W26" i="21"/>
  <c r="AM25" i="21"/>
  <c r="AO25" i="21" s="1"/>
  <c r="AP24" i="21"/>
  <c r="BE24" i="21"/>
  <c r="BG24" i="21" s="1"/>
  <c r="C24" i="21"/>
  <c r="BI25" i="22" l="1"/>
  <c r="BK25" i="22" s="1"/>
  <c r="BK24" i="22"/>
  <c r="BJ21" i="22"/>
  <c r="BL21" i="22" s="1"/>
  <c r="V24" i="22"/>
  <c r="AH24" i="22"/>
  <c r="AI24" i="22"/>
  <c r="AL20" i="22"/>
  <c r="BG21" i="22"/>
  <c r="BF21" i="22" s="1"/>
  <c r="AO21" i="22"/>
  <c r="BA21" i="22" s="1"/>
  <c r="BB22" i="22"/>
  <c r="AP22" i="22" s="1"/>
  <c r="AZ22" i="22" s="1"/>
  <c r="B26" i="22"/>
  <c r="AA24" i="22"/>
  <c r="C23" i="22"/>
  <c r="AC24" i="22"/>
  <c r="K24" i="22"/>
  <c r="P24" i="22"/>
  <c r="L24" i="22"/>
  <c r="AW24" i="22" s="1"/>
  <c r="AY24" i="22" s="1"/>
  <c r="F24" i="22"/>
  <c r="X24" i="22"/>
  <c r="AB24" i="22"/>
  <c r="Z24" i="22"/>
  <c r="Q25" i="22"/>
  <c r="S25" i="22" s="1"/>
  <c r="M25" i="22"/>
  <c r="O25" i="22" s="1"/>
  <c r="G25" i="22"/>
  <c r="K25" i="22" s="1"/>
  <c r="W25" i="22"/>
  <c r="T25" i="22"/>
  <c r="Y25" i="22"/>
  <c r="U25" i="22"/>
  <c r="AD24" i="22"/>
  <c r="AF24" i="22"/>
  <c r="H24" i="22"/>
  <c r="AG24" i="22"/>
  <c r="AE24" i="22"/>
  <c r="AN23" i="22"/>
  <c r="AM23" i="22"/>
  <c r="AY23" i="21"/>
  <c r="BA23" i="21" s="1"/>
  <c r="AQ25" i="21"/>
  <c r="AH26" i="21"/>
  <c r="AP25" i="21"/>
  <c r="AT25" i="21" s="1"/>
  <c r="AR25" i="21" s="1"/>
  <c r="AM26" i="21"/>
  <c r="AO26" i="21" s="1"/>
  <c r="AZ23" i="21"/>
  <c r="BB23" i="21" s="1"/>
  <c r="AU25" i="21"/>
  <c r="AS25" i="21" s="1"/>
  <c r="AT24" i="21"/>
  <c r="AR24" i="21" s="1"/>
  <c r="AJ26" i="21"/>
  <c r="AG26" i="21"/>
  <c r="Y26" i="21"/>
  <c r="Z26" i="21"/>
  <c r="AI26" i="21"/>
  <c r="S26" i="21"/>
  <c r="AE26" i="21"/>
  <c r="R27" i="21"/>
  <c r="X27" i="21" s="1"/>
  <c r="V27" i="21"/>
  <c r="Q27" i="21"/>
  <c r="W27" i="21"/>
  <c r="AB27" i="21"/>
  <c r="AD27" i="21" s="1"/>
  <c r="BD27" i="21"/>
  <c r="BF27" i="21" s="1"/>
  <c r="B28" i="21"/>
  <c r="AA27" i="21"/>
  <c r="U27" i="21"/>
  <c r="AC27" i="21"/>
  <c r="AF27" i="21"/>
  <c r="BE25" i="21"/>
  <c r="BG25" i="21" s="1"/>
  <c r="C25" i="21"/>
  <c r="BI26" i="22" l="1"/>
  <c r="BJ22" i="22"/>
  <c r="BL22" i="22" s="1"/>
  <c r="H25" i="22"/>
  <c r="AH25" i="22"/>
  <c r="AI25" i="22"/>
  <c r="AX25" i="21"/>
  <c r="AW25" i="21" s="1"/>
  <c r="AL21" i="22"/>
  <c r="AK21" i="22"/>
  <c r="BG22" i="22"/>
  <c r="BF22" i="22" s="1"/>
  <c r="BC23" i="22"/>
  <c r="AQ23" i="22" s="1"/>
  <c r="BB23" i="22"/>
  <c r="AP23" i="22" s="1"/>
  <c r="AZ23" i="22" s="1"/>
  <c r="AO22" i="22"/>
  <c r="BA22" i="22" s="1"/>
  <c r="B27" i="22"/>
  <c r="C24" i="22"/>
  <c r="AA25" i="22"/>
  <c r="M26" i="22"/>
  <c r="O26" i="22" s="1"/>
  <c r="Q26" i="22"/>
  <c r="S26" i="22" s="1"/>
  <c r="Y26" i="22"/>
  <c r="U26" i="22"/>
  <c r="G26" i="22"/>
  <c r="K26" i="22" s="1"/>
  <c r="W26" i="22"/>
  <c r="T26" i="22"/>
  <c r="AC25" i="22"/>
  <c r="L25" i="22"/>
  <c r="AW25" i="22" s="1"/>
  <c r="AY25" i="22" s="1"/>
  <c r="F25" i="22"/>
  <c r="P25" i="22"/>
  <c r="X25" i="22"/>
  <c r="Z25" i="22"/>
  <c r="AB25" i="22"/>
  <c r="AE25" i="22"/>
  <c r="AD25" i="22"/>
  <c r="V25" i="22"/>
  <c r="AF25" i="22"/>
  <c r="AG25" i="22"/>
  <c r="AM24" i="22"/>
  <c r="AN24" i="22"/>
  <c r="AV25" i="21"/>
  <c r="AZ25" i="21" s="1"/>
  <c r="BB25" i="21" s="1"/>
  <c r="AM27" i="21"/>
  <c r="AO27" i="21" s="1"/>
  <c r="AP26" i="21"/>
  <c r="AT26" i="21" s="1"/>
  <c r="AR26" i="21" s="1"/>
  <c r="Z27" i="21"/>
  <c r="BE26" i="21"/>
  <c r="BG26" i="21" s="1"/>
  <c r="AI27" i="21"/>
  <c r="S27" i="21"/>
  <c r="AE27" i="21"/>
  <c r="AY25" i="21"/>
  <c r="BA25" i="21" s="1"/>
  <c r="D25" i="21"/>
  <c r="AH27" i="21"/>
  <c r="AQ26" i="21"/>
  <c r="R28" i="21"/>
  <c r="X28" i="21" s="1"/>
  <c r="V28" i="21"/>
  <c r="U28" i="21"/>
  <c r="AA28" i="21"/>
  <c r="AF28" i="21"/>
  <c r="Q28" i="21"/>
  <c r="W28" i="21"/>
  <c r="AB28" i="21"/>
  <c r="AD28" i="21" s="1"/>
  <c r="BD28" i="21"/>
  <c r="BF28" i="21" s="1"/>
  <c r="B29" i="21"/>
  <c r="AC28" i="21"/>
  <c r="AG27" i="21"/>
  <c r="AJ27" i="21"/>
  <c r="Y27" i="21"/>
  <c r="C26" i="21"/>
  <c r="AV24" i="21"/>
  <c r="AZ24" i="21" s="1"/>
  <c r="BB24" i="21" s="1"/>
  <c r="AX24" i="21"/>
  <c r="AW24" i="21" s="1"/>
  <c r="BI27" i="22" l="1"/>
  <c r="M27" i="22"/>
  <c r="O27" i="22" s="1"/>
  <c r="BK26" i="22"/>
  <c r="BJ23" i="22"/>
  <c r="BL23" i="22" s="1"/>
  <c r="H26" i="22"/>
  <c r="AH26" i="22"/>
  <c r="AI26" i="22"/>
  <c r="AH28" i="21"/>
  <c r="AO23" i="22"/>
  <c r="BA23" i="22" s="1"/>
  <c r="AL22" i="22"/>
  <c r="BB24" i="22"/>
  <c r="AP24" i="22" s="1"/>
  <c r="AZ24" i="22" s="1"/>
  <c r="BC24" i="22"/>
  <c r="AQ24" i="22" s="1"/>
  <c r="AK22" i="22"/>
  <c r="BG23" i="22"/>
  <c r="BF23" i="22" s="1"/>
  <c r="Y27" i="22"/>
  <c r="T27" i="22"/>
  <c r="U27" i="22"/>
  <c r="G27" i="22"/>
  <c r="K27" i="22" s="1"/>
  <c r="B28" i="22"/>
  <c r="BK27" i="22"/>
  <c r="W27" i="22"/>
  <c r="Q27" i="22"/>
  <c r="S27" i="22" s="1"/>
  <c r="AA26" i="22"/>
  <c r="C25" i="22"/>
  <c r="P26" i="22"/>
  <c r="L26" i="22"/>
  <c r="AW26" i="22" s="1"/>
  <c r="AY26" i="22" s="1"/>
  <c r="F26" i="22"/>
  <c r="AB26" i="22"/>
  <c r="X26" i="22"/>
  <c r="Z26" i="22"/>
  <c r="AC26" i="22"/>
  <c r="AN25" i="22"/>
  <c r="AM25" i="22"/>
  <c r="V26" i="22"/>
  <c r="AG26" i="22"/>
  <c r="AE26" i="22"/>
  <c r="AF26" i="22"/>
  <c r="AD26" i="22"/>
  <c r="AQ27" i="21"/>
  <c r="AU27" i="21" s="1"/>
  <c r="AS27" i="21" s="1"/>
  <c r="C27" i="21"/>
  <c r="AP27" i="21"/>
  <c r="AT27" i="21" s="1"/>
  <c r="AR27" i="21" s="1"/>
  <c r="AG28" i="21"/>
  <c r="AQ28" i="21" s="1"/>
  <c r="Y28" i="21"/>
  <c r="AJ28" i="21"/>
  <c r="AE28" i="21"/>
  <c r="S28" i="21"/>
  <c r="AI28" i="21"/>
  <c r="D24" i="21"/>
  <c r="AY24" i="21"/>
  <c r="BA24" i="21" s="1"/>
  <c r="AB29" i="21"/>
  <c r="AD29" i="21" s="1"/>
  <c r="AF29" i="21"/>
  <c r="BD29" i="21"/>
  <c r="BF29" i="21" s="1"/>
  <c r="B30" i="21"/>
  <c r="Q29" i="21"/>
  <c r="U29" i="21"/>
  <c r="R29" i="21"/>
  <c r="X29" i="21" s="1"/>
  <c r="V29" i="21"/>
  <c r="AA29" i="21"/>
  <c r="AC29" i="21"/>
  <c r="W29" i="21"/>
  <c r="AM28" i="21"/>
  <c r="AO28" i="21" s="1"/>
  <c r="BE27" i="21"/>
  <c r="BG27" i="21" s="1"/>
  <c r="Z28" i="21"/>
  <c r="AU26" i="21"/>
  <c r="AS26" i="21" s="1"/>
  <c r="AX26" i="21" s="1"/>
  <c r="AW26" i="21" s="1"/>
  <c r="BI28" i="22" l="1"/>
  <c r="Q28" i="22"/>
  <c r="S28" i="22" s="1"/>
  <c r="BJ24" i="22"/>
  <c r="BL24" i="22" s="1"/>
  <c r="D18" i="22"/>
  <c r="F27" i="22"/>
  <c r="AH27" i="22"/>
  <c r="AI27" i="22"/>
  <c r="BG24" i="22"/>
  <c r="BF24" i="22" s="1"/>
  <c r="BB25" i="22"/>
  <c r="AP25" i="22" s="1"/>
  <c r="AZ25" i="22" s="1"/>
  <c r="AK23" i="22"/>
  <c r="BC25" i="22"/>
  <c r="AQ25" i="22" s="1"/>
  <c r="AO24" i="22"/>
  <c r="BA24" i="22" s="1"/>
  <c r="AL24" i="22" s="1"/>
  <c r="AL23" i="22"/>
  <c r="H27" i="22"/>
  <c r="AD27" i="22"/>
  <c r="V27" i="22"/>
  <c r="L27" i="22"/>
  <c r="AW27" i="22" s="1"/>
  <c r="AY27" i="22" s="1"/>
  <c r="AF27" i="22"/>
  <c r="AE27" i="22"/>
  <c r="Z27" i="22"/>
  <c r="X27" i="22"/>
  <c r="P27" i="22"/>
  <c r="AB27" i="22"/>
  <c r="AG27" i="22"/>
  <c r="AA27" i="22"/>
  <c r="T28" i="22"/>
  <c r="AC27" i="22"/>
  <c r="G28" i="22"/>
  <c r="K28" i="22" s="1"/>
  <c r="W28" i="22"/>
  <c r="U28" i="22"/>
  <c r="B29" i="22"/>
  <c r="BK28" i="22"/>
  <c r="Y28" i="22"/>
  <c r="M28" i="22"/>
  <c r="O28" i="22" s="1"/>
  <c r="C26" i="22"/>
  <c r="AM26" i="22"/>
  <c r="AN26" i="22"/>
  <c r="BC26" i="22" s="1"/>
  <c r="AQ26" i="22" s="1"/>
  <c r="AV27" i="21"/>
  <c r="AX27" i="21"/>
  <c r="AW27" i="21" s="1"/>
  <c r="D27" i="21" s="1"/>
  <c r="AP28" i="21"/>
  <c r="AT28" i="21" s="1"/>
  <c r="AR28" i="21" s="1"/>
  <c r="R30" i="21"/>
  <c r="X30" i="21" s="1"/>
  <c r="V30" i="21"/>
  <c r="U30" i="21"/>
  <c r="AA30" i="21"/>
  <c r="AF30" i="21"/>
  <c r="Q30" i="21"/>
  <c r="W30" i="21"/>
  <c r="AB30" i="21"/>
  <c r="AD30" i="21" s="1"/>
  <c r="BD30" i="21"/>
  <c r="BF30" i="21" s="1"/>
  <c r="AC30" i="21"/>
  <c r="B31" i="21"/>
  <c r="AV26" i="21"/>
  <c r="AZ26" i="21" s="1"/>
  <c r="BB26" i="21" s="1"/>
  <c r="BE28" i="21"/>
  <c r="BG28" i="21" s="1"/>
  <c r="AH29" i="21"/>
  <c r="AJ29" i="21"/>
  <c r="AG29" i="21"/>
  <c r="Y29" i="21"/>
  <c r="AE29" i="21"/>
  <c r="AI29" i="21"/>
  <c r="S29" i="21"/>
  <c r="C28" i="21"/>
  <c r="D26" i="21"/>
  <c r="AY26" i="21"/>
  <c r="BA26" i="21" s="1"/>
  <c r="AM29" i="21"/>
  <c r="AO29" i="21" s="1"/>
  <c r="Z29" i="21"/>
  <c r="AU28" i="21"/>
  <c r="AS28" i="21" s="1"/>
  <c r="BI29" i="22" l="1"/>
  <c r="M29" i="22"/>
  <c r="O29" i="22" s="1"/>
  <c r="BJ25" i="22"/>
  <c r="BL25" i="22" s="1"/>
  <c r="AK24" i="22"/>
  <c r="D19" i="22"/>
  <c r="AO25" i="22"/>
  <c r="BA25" i="22" s="1"/>
  <c r="F28" i="22"/>
  <c r="AH28" i="22"/>
  <c r="AI28" i="22"/>
  <c r="AH30" i="21"/>
  <c r="BG25" i="22"/>
  <c r="BF25" i="22" s="1"/>
  <c r="BB26" i="22"/>
  <c r="AP26" i="22" s="1"/>
  <c r="AZ26" i="22" s="1"/>
  <c r="AA28" i="22"/>
  <c r="P28" i="22"/>
  <c r="AN27" i="22"/>
  <c r="H28" i="22"/>
  <c r="AB28" i="22"/>
  <c r="V28" i="22"/>
  <c r="AM27" i="22"/>
  <c r="C27" i="22"/>
  <c r="X28" i="22"/>
  <c r="W29" i="22"/>
  <c r="L28" i="22"/>
  <c r="AW28" i="22" s="1"/>
  <c r="AY28" i="22" s="1"/>
  <c r="G29" i="22"/>
  <c r="K29" i="22" s="1"/>
  <c r="AG28" i="22"/>
  <c r="Y29" i="22"/>
  <c r="U29" i="22"/>
  <c r="Q29" i="22"/>
  <c r="S29" i="22" s="1"/>
  <c r="AE28" i="22"/>
  <c r="T29" i="22"/>
  <c r="AD28" i="22"/>
  <c r="AF28" i="22"/>
  <c r="AC28" i="22"/>
  <c r="Z28" i="22"/>
  <c r="B30" i="22"/>
  <c r="BK29" i="22"/>
  <c r="AY27" i="21"/>
  <c r="BA27" i="21" s="1"/>
  <c r="AZ27" i="21"/>
  <c r="BB27" i="21" s="1"/>
  <c r="AX28" i="21"/>
  <c r="AW28" i="21" s="1"/>
  <c r="D28" i="21" s="1"/>
  <c r="AQ29" i="21"/>
  <c r="AU29" i="21" s="1"/>
  <c r="AS29" i="21" s="1"/>
  <c r="AP29" i="21"/>
  <c r="AT29" i="21" s="1"/>
  <c r="AR29" i="21" s="1"/>
  <c r="BE29" i="21"/>
  <c r="BG29" i="21" s="1"/>
  <c r="C29" i="21"/>
  <c r="AG30" i="21"/>
  <c r="Y30" i="21"/>
  <c r="AJ30" i="21"/>
  <c r="AM30" i="21"/>
  <c r="AO30" i="21" s="1"/>
  <c r="Z30" i="21"/>
  <c r="AV28" i="21"/>
  <c r="AZ28" i="21" s="1"/>
  <c r="BB28" i="21" s="1"/>
  <c r="Q31" i="21"/>
  <c r="U31" i="21"/>
  <c r="R31" i="21"/>
  <c r="X31" i="21" s="1"/>
  <c r="V31" i="21"/>
  <c r="AA31" i="21"/>
  <c r="AC31" i="21"/>
  <c r="W31" i="21"/>
  <c r="B32" i="21"/>
  <c r="AB31" i="21"/>
  <c r="AD31" i="21" s="1"/>
  <c r="BD31" i="21"/>
  <c r="BF31" i="21" s="1"/>
  <c r="AF31" i="21"/>
  <c r="AE30" i="21"/>
  <c r="S30" i="21"/>
  <c r="AI30" i="21"/>
  <c r="BI30" i="22" l="1"/>
  <c r="U30" i="22"/>
  <c r="BJ26" i="22"/>
  <c r="BL26" i="22" s="1"/>
  <c r="AK25" i="22"/>
  <c r="D20" i="22"/>
  <c r="P29" i="22"/>
  <c r="AH29" i="22"/>
  <c r="AI29" i="22"/>
  <c r="AL25" i="22"/>
  <c r="AO26" i="22"/>
  <c r="BA26" i="22" s="1"/>
  <c r="BG26" i="22"/>
  <c r="BF26" i="22" s="1"/>
  <c r="BB27" i="22"/>
  <c r="AP27" i="22" s="1"/>
  <c r="BC27" i="22"/>
  <c r="AQ27" i="22" s="1"/>
  <c r="AF29" i="22"/>
  <c r="V29" i="22"/>
  <c r="F29" i="22"/>
  <c r="L29" i="22"/>
  <c r="AW29" i="22" s="1"/>
  <c r="AY29" i="22" s="1"/>
  <c r="C28" i="22"/>
  <c r="AN28" i="22"/>
  <c r="AA29" i="22"/>
  <c r="Z29" i="22"/>
  <c r="G30" i="22"/>
  <c r="K30" i="22" s="1"/>
  <c r="AG29" i="22"/>
  <c r="X29" i="22"/>
  <c r="AD29" i="22"/>
  <c r="AM28" i="22"/>
  <c r="AB29" i="22"/>
  <c r="Y30" i="22"/>
  <c r="H29" i="22"/>
  <c r="AE29" i="22"/>
  <c r="AC29" i="22"/>
  <c r="T30" i="22"/>
  <c r="Q30" i="22"/>
  <c r="S30" i="22" s="1"/>
  <c r="B31" i="22"/>
  <c r="BK30" i="22"/>
  <c r="W30" i="22"/>
  <c r="M30" i="22"/>
  <c r="O30" i="22" s="1"/>
  <c r="AP30" i="21"/>
  <c r="AT30" i="21" s="1"/>
  <c r="AR30" i="21" s="1"/>
  <c r="AY28" i="21"/>
  <c r="BA28" i="21" s="1"/>
  <c r="AX29" i="21"/>
  <c r="AW29" i="21" s="1"/>
  <c r="D29" i="21" s="1"/>
  <c r="AH31" i="21"/>
  <c r="AQ30" i="21"/>
  <c r="C30" i="21"/>
  <c r="Y31" i="21"/>
  <c r="AG31" i="21"/>
  <c r="AJ31" i="21"/>
  <c r="AE31" i="21"/>
  <c r="AI31" i="21"/>
  <c r="S31" i="21"/>
  <c r="BE30" i="21"/>
  <c r="BG30" i="21" s="1"/>
  <c r="AV29" i="21"/>
  <c r="AZ29" i="21" s="1"/>
  <c r="BB29" i="21" s="1"/>
  <c r="AB32" i="21"/>
  <c r="AD32" i="21" s="1"/>
  <c r="AF32" i="21"/>
  <c r="BD32" i="21"/>
  <c r="BF32" i="21" s="1"/>
  <c r="B33" i="21"/>
  <c r="Q32" i="21"/>
  <c r="U32" i="21"/>
  <c r="AC32" i="21"/>
  <c r="W32" i="21"/>
  <c r="AA32" i="21"/>
  <c r="R32" i="21"/>
  <c r="X32" i="21" s="1"/>
  <c r="V32" i="21"/>
  <c r="Z31" i="21"/>
  <c r="AM31" i="21"/>
  <c r="AO31" i="21" s="1"/>
  <c r="BI31" i="22" l="1"/>
  <c r="G31" i="22"/>
  <c r="K31" i="22" s="1"/>
  <c r="BJ27" i="22"/>
  <c r="BL27" i="22" s="1"/>
  <c r="D21" i="22"/>
  <c r="P30" i="22"/>
  <c r="AH30" i="22"/>
  <c r="AI30" i="22"/>
  <c r="AH32" i="21"/>
  <c r="AP31" i="21"/>
  <c r="AK26" i="22"/>
  <c r="AL26" i="22"/>
  <c r="BC28" i="22"/>
  <c r="AQ28" i="22" s="1"/>
  <c r="AO27" i="22"/>
  <c r="BA27" i="22" s="1"/>
  <c r="AZ27" i="22"/>
  <c r="BB28" i="22"/>
  <c r="AP28" i="22" s="1"/>
  <c r="AZ28" i="22" s="1"/>
  <c r="BG27" i="22"/>
  <c r="BF27" i="22" s="1"/>
  <c r="AN29" i="22"/>
  <c r="AG30" i="22"/>
  <c r="F30" i="22"/>
  <c r="AE30" i="22"/>
  <c r="X30" i="22"/>
  <c r="C29" i="22"/>
  <c r="W31" i="22"/>
  <c r="Y31" i="22"/>
  <c r="AM29" i="22"/>
  <c r="M31" i="22"/>
  <c r="O31" i="22" s="1"/>
  <c r="T31" i="22"/>
  <c r="Q31" i="22"/>
  <c r="S31" i="22" s="1"/>
  <c r="H30" i="22"/>
  <c r="AD30" i="22"/>
  <c r="AB30" i="22"/>
  <c r="AC30" i="22"/>
  <c r="V30" i="22"/>
  <c r="L30" i="22"/>
  <c r="AW30" i="22" s="1"/>
  <c r="AY30" i="22" s="1"/>
  <c r="AA30" i="22"/>
  <c r="AF30" i="22"/>
  <c r="U31" i="22"/>
  <c r="Z30" i="22"/>
  <c r="B32" i="22"/>
  <c r="BK31" i="22"/>
  <c r="AQ31" i="21"/>
  <c r="AU31" i="21" s="1"/>
  <c r="AS31" i="21" s="1"/>
  <c r="AY29" i="21"/>
  <c r="BA29" i="21" s="1"/>
  <c r="AT31" i="21"/>
  <c r="AR31" i="21" s="1"/>
  <c r="AJ32" i="21"/>
  <c r="Y32" i="21"/>
  <c r="AG32" i="21"/>
  <c r="BE31" i="21"/>
  <c r="BG31" i="21" s="1"/>
  <c r="R33" i="21"/>
  <c r="X33" i="21" s="1"/>
  <c r="V33" i="21"/>
  <c r="Q33" i="21"/>
  <c r="U33" i="21"/>
  <c r="AC33" i="21"/>
  <c r="AF33" i="21"/>
  <c r="B34" i="21"/>
  <c r="AA33" i="21"/>
  <c r="W33" i="21"/>
  <c r="BD33" i="21"/>
  <c r="BF33" i="21" s="1"/>
  <c r="AB33" i="21"/>
  <c r="AD33" i="21" s="1"/>
  <c r="C31" i="21"/>
  <c r="S32" i="21"/>
  <c r="AE32" i="21"/>
  <c r="AP32" i="21" s="1"/>
  <c r="AI32" i="21"/>
  <c r="AM32" i="21"/>
  <c r="AO32" i="21" s="1"/>
  <c r="AQ32" i="21"/>
  <c r="Z32" i="21"/>
  <c r="AU30" i="21"/>
  <c r="AS30" i="21" s="1"/>
  <c r="AX30" i="21" s="1"/>
  <c r="AW30" i="21" s="1"/>
  <c r="BI32" i="22" l="1"/>
  <c r="T32" i="22"/>
  <c r="X32" i="22" s="1"/>
  <c r="BJ28" i="22"/>
  <c r="BL28" i="22" s="1"/>
  <c r="D22" i="22"/>
  <c r="BG28" i="22"/>
  <c r="BF28" i="22" s="1"/>
  <c r="D23" i="22" s="1"/>
  <c r="AO28" i="22"/>
  <c r="BA28" i="22" s="1"/>
  <c r="AL28" i="22" s="1"/>
  <c r="L31" i="22"/>
  <c r="AW31" i="22" s="1"/>
  <c r="AY31" i="22" s="1"/>
  <c r="AH31" i="22"/>
  <c r="AI31" i="22"/>
  <c r="AX31" i="21"/>
  <c r="AW31" i="21" s="1"/>
  <c r="AY31" i="21" s="1"/>
  <c r="BA31" i="21" s="1"/>
  <c r="AM33" i="21"/>
  <c r="AO33" i="21" s="1"/>
  <c r="AL27" i="22"/>
  <c r="AK27" i="22"/>
  <c r="AK28" i="22"/>
  <c r="BB29" i="22"/>
  <c r="AP29" i="22" s="1"/>
  <c r="AZ29" i="22" s="1"/>
  <c r="BC29" i="22"/>
  <c r="AQ29" i="22" s="1"/>
  <c r="X31" i="22"/>
  <c r="P31" i="22"/>
  <c r="G32" i="22"/>
  <c r="K32" i="22" s="1"/>
  <c r="AA31" i="22"/>
  <c r="V31" i="22"/>
  <c r="W32" i="22"/>
  <c r="AB31" i="22"/>
  <c r="F31" i="22"/>
  <c r="H31" i="22"/>
  <c r="AM30" i="22"/>
  <c r="AD31" i="22"/>
  <c r="AF31" i="22"/>
  <c r="AN30" i="22"/>
  <c r="BC30" i="22" s="1"/>
  <c r="AQ30" i="22" s="1"/>
  <c r="AC31" i="22"/>
  <c r="AE31" i="22"/>
  <c r="AG31" i="22"/>
  <c r="Z31" i="22"/>
  <c r="C30" i="22"/>
  <c r="M32" i="22"/>
  <c r="O32" i="22" s="1"/>
  <c r="Y32" i="22"/>
  <c r="B33" i="22"/>
  <c r="BK32" i="22"/>
  <c r="U32" i="22"/>
  <c r="Q32" i="22"/>
  <c r="S32" i="22" s="1"/>
  <c r="L32" i="22"/>
  <c r="AW32" i="22" s="1"/>
  <c r="AY32" i="22" s="1"/>
  <c r="AH33" i="21"/>
  <c r="V32" i="22"/>
  <c r="D31" i="21"/>
  <c r="AT32" i="21"/>
  <c r="AR32" i="21" s="1"/>
  <c r="AU32" i="21"/>
  <c r="AS32" i="21" s="1"/>
  <c r="Z33" i="21"/>
  <c r="AB34" i="21"/>
  <c r="AD34" i="21" s="1"/>
  <c r="AF34" i="21"/>
  <c r="BD34" i="21"/>
  <c r="BF34" i="21" s="1"/>
  <c r="B35" i="21"/>
  <c r="W34" i="21"/>
  <c r="AA34" i="21"/>
  <c r="U34" i="21"/>
  <c r="AC34" i="21"/>
  <c r="Q34" i="21"/>
  <c r="AM34" i="21" s="1"/>
  <c r="AO34" i="21" s="1"/>
  <c r="V34" i="21"/>
  <c r="R34" i="21"/>
  <c r="X34" i="21" s="1"/>
  <c r="C32" i="21"/>
  <c r="AV30" i="21"/>
  <c r="AZ30" i="21" s="1"/>
  <c r="BB30" i="21" s="1"/>
  <c r="D30" i="21"/>
  <c r="AY30" i="21"/>
  <c r="BA30" i="21" s="1"/>
  <c r="Y33" i="21"/>
  <c r="C33" i="21" s="1"/>
  <c r="AG33" i="21"/>
  <c r="AJ33" i="21"/>
  <c r="AV31" i="21"/>
  <c r="AZ31" i="21" s="1"/>
  <c r="BB31" i="21" s="1"/>
  <c r="BE32" i="21"/>
  <c r="BG32" i="21" s="1"/>
  <c r="S33" i="21"/>
  <c r="AI33" i="21"/>
  <c r="AE33" i="21"/>
  <c r="AP33" i="21" s="1"/>
  <c r="H32" i="22" l="1"/>
  <c r="F32" i="22"/>
  <c r="AG32" i="22"/>
  <c r="P32" i="22"/>
  <c r="BI33" i="22"/>
  <c r="G33" i="22"/>
  <c r="K33" i="22" s="1"/>
  <c r="BJ29" i="22"/>
  <c r="BL29" i="22" s="1"/>
  <c r="AI32" i="22"/>
  <c r="AH32" i="22"/>
  <c r="AX32" i="21"/>
  <c r="AW32" i="21" s="1"/>
  <c r="D32" i="21" s="1"/>
  <c r="BG29" i="22"/>
  <c r="BF29" i="22" s="1"/>
  <c r="BB30" i="22"/>
  <c r="AP30" i="22" s="1"/>
  <c r="AZ30" i="22" s="1"/>
  <c r="AO29" i="22"/>
  <c r="BA29" i="22" s="1"/>
  <c r="T33" i="22"/>
  <c r="H33" i="22" s="1"/>
  <c r="AA32" i="22"/>
  <c r="AN31" i="22"/>
  <c r="AM31" i="22"/>
  <c r="Y33" i="22"/>
  <c r="C31" i="22"/>
  <c r="Z32" i="22"/>
  <c r="M33" i="22"/>
  <c r="O33" i="22" s="1"/>
  <c r="Q33" i="22"/>
  <c r="S33" i="22" s="1"/>
  <c r="AF32" i="22"/>
  <c r="AD32" i="22"/>
  <c r="AB32" i="22"/>
  <c r="AE32" i="22"/>
  <c r="AC32" i="22"/>
  <c r="U33" i="22"/>
  <c r="B34" i="22"/>
  <c r="W33" i="22"/>
  <c r="AQ33" i="21"/>
  <c r="AU33" i="21" s="1"/>
  <c r="AS33" i="21" s="1"/>
  <c r="AH34" i="21"/>
  <c r="AY32" i="21"/>
  <c r="BA32" i="21" s="1"/>
  <c r="AT33" i="21"/>
  <c r="AR33" i="21" s="1"/>
  <c r="AJ34" i="21"/>
  <c r="AG34" i="21"/>
  <c r="AQ34" i="21" s="1"/>
  <c r="Y34" i="21"/>
  <c r="R35" i="21"/>
  <c r="X35" i="21" s="1"/>
  <c r="V35" i="21"/>
  <c r="Q35" i="21"/>
  <c r="U35" i="21"/>
  <c r="AC35" i="21"/>
  <c r="AA35" i="21"/>
  <c r="AB35" i="21"/>
  <c r="AD35" i="21" s="1"/>
  <c r="BD35" i="21"/>
  <c r="BF35" i="21" s="1"/>
  <c r="AF35" i="21"/>
  <c r="B36" i="21"/>
  <c r="W35" i="21"/>
  <c r="Z34" i="21"/>
  <c r="S34" i="21"/>
  <c r="AE34" i="21"/>
  <c r="AI34" i="21"/>
  <c r="BE33" i="21"/>
  <c r="BG33" i="21" s="1"/>
  <c r="AV32" i="21"/>
  <c r="AZ32" i="21" s="1"/>
  <c r="BB32" i="21" s="1"/>
  <c r="BI34" i="22" l="1"/>
  <c r="G34" i="22"/>
  <c r="BK33" i="22"/>
  <c r="BJ30" i="22"/>
  <c r="BL30" i="22" s="1"/>
  <c r="AK29" i="22"/>
  <c r="D24" i="22"/>
  <c r="X33" i="22"/>
  <c r="P33" i="22"/>
  <c r="AH33" i="22"/>
  <c r="AI33" i="22"/>
  <c r="L33" i="22"/>
  <c r="AW33" i="22" s="1"/>
  <c r="AY33" i="22" s="1"/>
  <c r="AC33" i="22"/>
  <c r="AB33" i="22"/>
  <c r="AO30" i="22"/>
  <c r="BA30" i="22" s="1"/>
  <c r="BC31" i="22"/>
  <c r="AQ31" i="22" s="1"/>
  <c r="AL29" i="22"/>
  <c r="BG30" i="22"/>
  <c r="BF30" i="22" s="1"/>
  <c r="BB31" i="22"/>
  <c r="AP31" i="22" s="1"/>
  <c r="AZ31" i="22" s="1"/>
  <c r="F33" i="22"/>
  <c r="V33" i="22"/>
  <c r="AN32" i="22"/>
  <c r="AA33" i="22"/>
  <c r="M34" i="22"/>
  <c r="O34" i="22" s="1"/>
  <c r="AG33" i="22"/>
  <c r="AF33" i="22"/>
  <c r="Z33" i="22"/>
  <c r="AD33" i="22"/>
  <c r="AE33" i="22"/>
  <c r="AM32" i="22"/>
  <c r="C32" i="22"/>
  <c r="U34" i="22"/>
  <c r="B35" i="22"/>
  <c r="BK34" i="22"/>
  <c r="T34" i="22"/>
  <c r="Q34" i="22"/>
  <c r="S34" i="22" s="1"/>
  <c r="W34" i="22"/>
  <c r="Y34" i="22"/>
  <c r="K34" i="22"/>
  <c r="AV33" i="21"/>
  <c r="AZ33" i="21" s="1"/>
  <c r="BB33" i="21" s="1"/>
  <c r="AP34" i="21"/>
  <c r="AT34" i="21" s="1"/>
  <c r="AR34" i="21" s="1"/>
  <c r="AX33" i="21"/>
  <c r="AW33" i="21" s="1"/>
  <c r="AY33" i="21" s="1"/>
  <c r="BA33" i="21" s="1"/>
  <c r="AB36" i="21"/>
  <c r="AD36" i="21" s="1"/>
  <c r="AF36" i="21"/>
  <c r="BD36" i="21"/>
  <c r="BF36" i="21" s="1"/>
  <c r="B37" i="21"/>
  <c r="W36" i="21"/>
  <c r="AA36" i="21"/>
  <c r="Q36" i="21"/>
  <c r="V36" i="21"/>
  <c r="R36" i="21"/>
  <c r="X36" i="21" s="1"/>
  <c r="U36" i="21"/>
  <c r="AC36" i="21"/>
  <c r="BE34" i="21"/>
  <c r="BG34" i="21" s="1"/>
  <c r="Y35" i="21"/>
  <c r="AG35" i="21"/>
  <c r="AJ35" i="21"/>
  <c r="AU34" i="21"/>
  <c r="AS34" i="21" s="1"/>
  <c r="S35" i="21"/>
  <c r="AI35" i="21"/>
  <c r="AE35" i="21"/>
  <c r="C34" i="21"/>
  <c r="AH35" i="21"/>
  <c r="Z35" i="21"/>
  <c r="AM35" i="21"/>
  <c r="AO35" i="21" s="1"/>
  <c r="BI35" i="22" l="1"/>
  <c r="Q35" i="22"/>
  <c r="S35" i="22" s="1"/>
  <c r="BJ31" i="22"/>
  <c r="BL31" i="22" s="1"/>
  <c r="D25" i="22"/>
  <c r="C33" i="22"/>
  <c r="X34" i="22"/>
  <c r="AH34" i="22"/>
  <c r="AI34" i="22"/>
  <c r="AX34" i="21"/>
  <c r="AW34" i="21" s="1"/>
  <c r="D34" i="21" s="1"/>
  <c r="AK30" i="22"/>
  <c r="AL30" i="22"/>
  <c r="AO31" i="22"/>
  <c r="BA31" i="22" s="1"/>
  <c r="BC32" i="22"/>
  <c r="AQ32" i="22" s="1"/>
  <c r="BG31" i="22"/>
  <c r="BF31" i="22" s="1"/>
  <c r="BB32" i="22"/>
  <c r="AP32" i="22" s="1"/>
  <c r="AN33" i="22"/>
  <c r="P34" i="22"/>
  <c r="H34" i="22"/>
  <c r="AM33" i="22"/>
  <c r="V34" i="22"/>
  <c r="F34" i="22"/>
  <c r="L34" i="22"/>
  <c r="AW34" i="22" s="1"/>
  <c r="AY34" i="22" s="1"/>
  <c r="AD34" i="22"/>
  <c r="AF34" i="22"/>
  <c r="Y35" i="22"/>
  <c r="Z34" i="22"/>
  <c r="AB34" i="22"/>
  <c r="AE34" i="22"/>
  <c r="AG34" i="22"/>
  <c r="U35" i="22"/>
  <c r="T35" i="22"/>
  <c r="AC34" i="22"/>
  <c r="AA34" i="22"/>
  <c r="G35" i="22"/>
  <c r="K35" i="22" s="1"/>
  <c r="B36" i="22"/>
  <c r="BK35" i="22"/>
  <c r="W35" i="22"/>
  <c r="M35" i="22"/>
  <c r="O35" i="22" s="1"/>
  <c r="AM36" i="21"/>
  <c r="AO36" i="21" s="1"/>
  <c r="D33" i="21"/>
  <c r="AQ35" i="21"/>
  <c r="AU35" i="21" s="1"/>
  <c r="AS35" i="21" s="1"/>
  <c r="AP35" i="21"/>
  <c r="AT35" i="21" s="1"/>
  <c r="AR35" i="21" s="1"/>
  <c r="AH36" i="21"/>
  <c r="Z36" i="21"/>
  <c r="C35" i="21"/>
  <c r="AV34" i="21"/>
  <c r="AZ34" i="21" s="1"/>
  <c r="BB34" i="21" s="1"/>
  <c r="R37" i="21"/>
  <c r="X37" i="21" s="1"/>
  <c r="V37" i="21"/>
  <c r="Q37" i="21"/>
  <c r="U37" i="21"/>
  <c r="AC37" i="21"/>
  <c r="AB37" i="21"/>
  <c r="AD37" i="21" s="1"/>
  <c r="BD37" i="21"/>
  <c r="BF37" i="21" s="1"/>
  <c r="W37" i="21"/>
  <c r="AA37" i="21"/>
  <c r="B38" i="21"/>
  <c r="AF37" i="21"/>
  <c r="BE35" i="21"/>
  <c r="BG35" i="21" s="1"/>
  <c r="AJ36" i="21"/>
  <c r="Y36" i="21"/>
  <c r="AG36" i="21"/>
  <c r="S36" i="21"/>
  <c r="AE36" i="21"/>
  <c r="AI36" i="21"/>
  <c r="BI36" i="22" l="1"/>
  <c r="T36" i="22"/>
  <c r="X36" i="22" s="1"/>
  <c r="BJ32" i="22"/>
  <c r="BL32" i="22" s="1"/>
  <c r="AK31" i="22"/>
  <c r="D26" i="22"/>
  <c r="L35" i="22"/>
  <c r="AW35" i="22" s="1"/>
  <c r="AY35" i="22" s="1"/>
  <c r="AH35" i="22"/>
  <c r="AI35" i="22"/>
  <c r="AY34" i="21"/>
  <c r="BA34" i="21" s="1"/>
  <c r="AH37" i="21"/>
  <c r="AQ36" i="21"/>
  <c r="AU36" i="21" s="1"/>
  <c r="AS36" i="21" s="1"/>
  <c r="BG32" i="22"/>
  <c r="BF32" i="22" s="1"/>
  <c r="BC33" i="22"/>
  <c r="AQ33" i="22" s="1"/>
  <c r="BB33" i="22"/>
  <c r="AP33" i="22" s="1"/>
  <c r="AZ33" i="22" s="1"/>
  <c r="AO32" i="22"/>
  <c r="BA32" i="22" s="1"/>
  <c r="AZ32" i="22"/>
  <c r="AL31" i="22"/>
  <c r="AM34" i="22"/>
  <c r="AA35" i="22"/>
  <c r="AN34" i="22"/>
  <c r="BC34" i="22" s="1"/>
  <c r="AQ34" i="22" s="1"/>
  <c r="C34" i="22"/>
  <c r="Q36" i="22"/>
  <c r="S36" i="22" s="1"/>
  <c r="AC35" i="22"/>
  <c r="AG35" i="22"/>
  <c r="AB35" i="22"/>
  <c r="V35" i="22"/>
  <c r="F35" i="22"/>
  <c r="AF35" i="22"/>
  <c r="X35" i="22"/>
  <c r="P35" i="22"/>
  <c r="AD35" i="22"/>
  <c r="AE35" i="22"/>
  <c r="H35" i="22"/>
  <c r="Z35" i="22"/>
  <c r="Y36" i="22"/>
  <c r="G36" i="22"/>
  <c r="K36" i="22" s="1"/>
  <c r="M36" i="22"/>
  <c r="O36" i="22" s="1"/>
  <c r="B37" i="22"/>
  <c r="BK36" i="22"/>
  <c r="U36" i="22"/>
  <c r="AC36" i="22" s="1"/>
  <c r="W36" i="22"/>
  <c r="P36" i="22"/>
  <c r="L36" i="22"/>
  <c r="AW36" i="22" s="1"/>
  <c r="AY36" i="22" s="1"/>
  <c r="F36" i="22"/>
  <c r="H36" i="22"/>
  <c r="C36" i="21"/>
  <c r="AV35" i="21"/>
  <c r="AX35" i="21"/>
  <c r="AW35" i="21" s="1"/>
  <c r="D35" i="21" s="1"/>
  <c r="AP36" i="21"/>
  <c r="AT36" i="21"/>
  <c r="AR36" i="21" s="1"/>
  <c r="BE36" i="21"/>
  <c r="BG36" i="21" s="1"/>
  <c r="Y37" i="21"/>
  <c r="AG37" i="21"/>
  <c r="AJ37" i="21"/>
  <c r="AE37" i="21"/>
  <c r="S37" i="21"/>
  <c r="AI37" i="21"/>
  <c r="AM37" i="21"/>
  <c r="AO37" i="21" s="1"/>
  <c r="AB38" i="21"/>
  <c r="AD38" i="21" s="1"/>
  <c r="AF38" i="21"/>
  <c r="BD38" i="21"/>
  <c r="BF38" i="21" s="1"/>
  <c r="B39" i="21"/>
  <c r="W38" i="21"/>
  <c r="AA38" i="21"/>
  <c r="R38" i="21"/>
  <c r="X38" i="21" s="1"/>
  <c r="Q38" i="21"/>
  <c r="V38" i="21"/>
  <c r="AC38" i="21"/>
  <c r="U38" i="21"/>
  <c r="Z37" i="21"/>
  <c r="BI37" i="22" l="1"/>
  <c r="V36" i="22"/>
  <c r="Q37" i="22"/>
  <c r="S37" i="22" s="1"/>
  <c r="BJ33" i="22"/>
  <c r="BL33" i="22" s="1"/>
  <c r="D27" i="22"/>
  <c r="AI36" i="22"/>
  <c r="AH36" i="22"/>
  <c r="AV36" i="21"/>
  <c r="AK32" i="22"/>
  <c r="AL32" i="22"/>
  <c r="BB34" i="22"/>
  <c r="AP34" i="22" s="1"/>
  <c r="AZ34" i="22" s="1"/>
  <c r="BG33" i="22"/>
  <c r="BF33" i="22" s="1"/>
  <c r="AO33" i="22"/>
  <c r="BA33" i="22" s="1"/>
  <c r="AM35" i="22"/>
  <c r="C35" i="22"/>
  <c r="AN35" i="22"/>
  <c r="AD36" i="22"/>
  <c r="AF36" i="22"/>
  <c r="AA36" i="22"/>
  <c r="AB36" i="22"/>
  <c r="T37" i="22"/>
  <c r="Y37" i="22"/>
  <c r="M37" i="22"/>
  <c r="O37" i="22" s="1"/>
  <c r="G37" i="22"/>
  <c r="K37" i="22" s="1"/>
  <c r="U37" i="22"/>
  <c r="AG36" i="22"/>
  <c r="AE36" i="22"/>
  <c r="Z36" i="22"/>
  <c r="B38" i="22"/>
  <c r="W37" i="22"/>
  <c r="AY35" i="21"/>
  <c r="BA35" i="21" s="1"/>
  <c r="AZ35" i="21"/>
  <c r="BB35" i="21" s="1"/>
  <c r="AM38" i="21"/>
  <c r="AO38" i="21" s="1"/>
  <c r="AQ37" i="21"/>
  <c r="AU37" i="21" s="1"/>
  <c r="AS37" i="21" s="1"/>
  <c r="S38" i="21"/>
  <c r="AE38" i="21"/>
  <c r="AI38" i="21"/>
  <c r="AJ38" i="21"/>
  <c r="Y38" i="21"/>
  <c r="AG38" i="21"/>
  <c r="AH38" i="21"/>
  <c r="Z38" i="21"/>
  <c r="C37" i="21"/>
  <c r="AX36" i="21"/>
  <c r="AW36" i="21" s="1"/>
  <c r="BE37" i="21"/>
  <c r="BG37" i="21" s="1"/>
  <c r="R39" i="21"/>
  <c r="X39" i="21" s="1"/>
  <c r="V39" i="21"/>
  <c r="Q39" i="21"/>
  <c r="U39" i="21"/>
  <c r="AC39" i="21"/>
  <c r="W39" i="21"/>
  <c r="AF39" i="21"/>
  <c r="B40" i="21"/>
  <c r="AB39" i="21"/>
  <c r="AD39" i="21" s="1"/>
  <c r="BD39" i="21"/>
  <c r="BF39" i="21" s="1"/>
  <c r="AA39" i="21"/>
  <c r="AP37" i="21"/>
  <c r="BI38" i="22" l="1"/>
  <c r="G38" i="22"/>
  <c r="BK37" i="22"/>
  <c r="BJ34" i="22"/>
  <c r="BL34" i="22" s="1"/>
  <c r="AK33" i="22"/>
  <c r="D28" i="22"/>
  <c r="P37" i="22"/>
  <c r="AH37" i="22"/>
  <c r="AI37" i="22"/>
  <c r="AL33" i="22"/>
  <c r="BB35" i="22"/>
  <c r="AP35" i="22" s="1"/>
  <c r="AZ35" i="22" s="1"/>
  <c r="AO34" i="22"/>
  <c r="BA34" i="22" s="1"/>
  <c r="BC35" i="22"/>
  <c r="AQ35" i="22" s="1"/>
  <c r="BG34" i="22"/>
  <c r="BF34" i="22" s="1"/>
  <c r="Z37" i="22"/>
  <c r="C36" i="22"/>
  <c r="L37" i="22"/>
  <c r="AW37" i="22" s="1"/>
  <c r="AY37" i="22" s="1"/>
  <c r="AG37" i="22"/>
  <c r="H37" i="22"/>
  <c r="U38" i="22"/>
  <c r="AD37" i="22"/>
  <c r="V37" i="22"/>
  <c r="Y38" i="22"/>
  <c r="AB37" i="22"/>
  <c r="Q38" i="22"/>
  <c r="S38" i="22" s="1"/>
  <c r="AF37" i="22"/>
  <c r="T38" i="22"/>
  <c r="M38" i="22"/>
  <c r="O38" i="22" s="1"/>
  <c r="F37" i="22"/>
  <c r="W38" i="22"/>
  <c r="X37" i="22"/>
  <c r="AE37" i="22"/>
  <c r="AN36" i="22"/>
  <c r="AA37" i="22"/>
  <c r="AM36" i="22"/>
  <c r="AC37" i="22"/>
  <c r="B39" i="22"/>
  <c r="K38" i="22"/>
  <c r="AP38" i="21"/>
  <c r="AT38" i="21" s="1"/>
  <c r="AR38" i="21" s="1"/>
  <c r="AH39" i="21"/>
  <c r="AM39" i="21"/>
  <c r="AO39" i="21" s="1"/>
  <c r="AQ38" i="21"/>
  <c r="C38" i="21"/>
  <c r="D36" i="21"/>
  <c r="AY36" i="21"/>
  <c r="BA36" i="21" s="1"/>
  <c r="Z39" i="21"/>
  <c r="Y39" i="21"/>
  <c r="AG39" i="21"/>
  <c r="AJ39" i="21"/>
  <c r="AZ36" i="21"/>
  <c r="BB36" i="21" s="1"/>
  <c r="AT37" i="21"/>
  <c r="AR37" i="21" s="1"/>
  <c r="AB40" i="21"/>
  <c r="AD40" i="21" s="1"/>
  <c r="W40" i="21"/>
  <c r="AA40" i="21"/>
  <c r="U40" i="21"/>
  <c r="AC40" i="21"/>
  <c r="R40" i="21"/>
  <c r="X40" i="21" s="1"/>
  <c r="AF40" i="21"/>
  <c r="BD40" i="21"/>
  <c r="BF40" i="21" s="1"/>
  <c r="B41" i="21"/>
  <c r="V40" i="21"/>
  <c r="Q40" i="21"/>
  <c r="AE39" i="21"/>
  <c r="S39" i="21"/>
  <c r="AI39" i="21"/>
  <c r="BE38" i="21"/>
  <c r="BG38" i="21" s="1"/>
  <c r="BI39" i="22" l="1"/>
  <c r="W39" i="22"/>
  <c r="BJ35" i="22"/>
  <c r="BL35" i="22" s="1"/>
  <c r="BK38" i="22"/>
  <c r="AK34" i="22"/>
  <c r="D29" i="22"/>
  <c r="AL34" i="22"/>
  <c r="P38" i="22"/>
  <c r="AH38" i="22"/>
  <c r="AI38" i="22"/>
  <c r="AQ39" i="21"/>
  <c r="AU39" i="21" s="1"/>
  <c r="AS39" i="21" s="1"/>
  <c r="AO35" i="22"/>
  <c r="BA35" i="22" s="1"/>
  <c r="BG35" i="22"/>
  <c r="BF35" i="22" s="1"/>
  <c r="BC36" i="22"/>
  <c r="AQ36" i="22" s="1"/>
  <c r="BB36" i="22"/>
  <c r="AP36" i="22" s="1"/>
  <c r="AZ36" i="22" s="1"/>
  <c r="AN37" i="22"/>
  <c r="C37" i="22"/>
  <c r="AM37" i="22"/>
  <c r="AA38" i="22"/>
  <c r="AB38" i="22"/>
  <c r="H38" i="22"/>
  <c r="AE38" i="22"/>
  <c r="AD38" i="22"/>
  <c r="M39" i="22"/>
  <c r="O39" i="22" s="1"/>
  <c r="AF38" i="22"/>
  <c r="F38" i="22"/>
  <c r="V38" i="22"/>
  <c r="Z38" i="22"/>
  <c r="L38" i="22"/>
  <c r="AW38" i="22" s="1"/>
  <c r="AY38" i="22" s="1"/>
  <c r="AC38" i="22"/>
  <c r="AG38" i="22"/>
  <c r="X38" i="22"/>
  <c r="Q39" i="22"/>
  <c r="S39" i="22" s="1"/>
  <c r="G39" i="22"/>
  <c r="K39" i="22" s="1"/>
  <c r="T39" i="22"/>
  <c r="Y39" i="22"/>
  <c r="B40" i="22"/>
  <c r="BK39" i="22"/>
  <c r="U39" i="22"/>
  <c r="C39" i="21"/>
  <c r="S40" i="21"/>
  <c r="AE40" i="21"/>
  <c r="AI40" i="21"/>
  <c r="AV37" i="21"/>
  <c r="AZ37" i="21" s="1"/>
  <c r="BB37" i="21" s="1"/>
  <c r="AX37" i="21"/>
  <c r="AW37" i="21" s="1"/>
  <c r="AP39" i="21"/>
  <c r="BE39" i="21"/>
  <c r="BG39" i="21" s="1"/>
  <c r="AU38" i="21"/>
  <c r="AS38" i="21" s="1"/>
  <c r="AX38" i="21" s="1"/>
  <c r="AW38" i="21" s="1"/>
  <c r="AM40" i="21"/>
  <c r="AO40" i="21" s="1"/>
  <c r="AH40" i="21"/>
  <c r="W41" i="21"/>
  <c r="AA41" i="21"/>
  <c r="AB41" i="21"/>
  <c r="AD41" i="21" s="1"/>
  <c r="AF41" i="21"/>
  <c r="BD41" i="21"/>
  <c r="BF41" i="21" s="1"/>
  <c r="B42" i="21"/>
  <c r="R41" i="21"/>
  <c r="X41" i="21" s="1"/>
  <c r="V41" i="21"/>
  <c r="Q41" i="21"/>
  <c r="AM41" i="21" s="1"/>
  <c r="AO41" i="21" s="1"/>
  <c r="AC41" i="21"/>
  <c r="U41" i="21"/>
  <c r="AG40" i="21"/>
  <c r="Y40" i="21"/>
  <c r="AJ40" i="21"/>
  <c r="Z40" i="21"/>
  <c r="BI40" i="22" l="1"/>
  <c r="T40" i="22"/>
  <c r="F40" i="22" s="1"/>
  <c r="BJ36" i="22"/>
  <c r="BL36" i="22" s="1"/>
  <c r="AK35" i="22"/>
  <c r="D30" i="22"/>
  <c r="P39" i="22"/>
  <c r="AH39" i="22"/>
  <c r="AI39" i="22"/>
  <c r="AQ40" i="21"/>
  <c r="AU40" i="21" s="1"/>
  <c r="AS40" i="21" s="1"/>
  <c r="AO36" i="22"/>
  <c r="BA36" i="22" s="1"/>
  <c r="AL35" i="22"/>
  <c r="BG36" i="22"/>
  <c r="BF36" i="22" s="1"/>
  <c r="BC37" i="22"/>
  <c r="AQ37" i="22" s="1"/>
  <c r="BB37" i="22"/>
  <c r="AP37" i="22" s="1"/>
  <c r="AZ37" i="22" s="1"/>
  <c r="H39" i="22"/>
  <c r="AN38" i="22"/>
  <c r="BC38" i="22" s="1"/>
  <c r="AQ38" i="22" s="1"/>
  <c r="W40" i="22"/>
  <c r="C38" i="22"/>
  <c r="AF39" i="22"/>
  <c r="AD39" i="22"/>
  <c r="AG39" i="22"/>
  <c r="V39" i="22"/>
  <c r="AM38" i="22"/>
  <c r="AC39" i="22"/>
  <c r="F39" i="22"/>
  <c r="X39" i="22"/>
  <c r="L39" i="22"/>
  <c r="AW39" i="22" s="1"/>
  <c r="AY39" i="22" s="1"/>
  <c r="AB39" i="22"/>
  <c r="Y40" i="22"/>
  <c r="G40" i="22"/>
  <c r="K40" i="22" s="1"/>
  <c r="M40" i="22"/>
  <c r="O40" i="22" s="1"/>
  <c r="AA39" i="22"/>
  <c r="AE39" i="22"/>
  <c r="Z39" i="22"/>
  <c r="B41" i="22"/>
  <c r="BK40" i="22"/>
  <c r="U40" i="22"/>
  <c r="Q40" i="22"/>
  <c r="S40" i="22" s="1"/>
  <c r="P40" i="22"/>
  <c r="L40" i="22"/>
  <c r="AW40" i="22" s="1"/>
  <c r="AY40" i="22" s="1"/>
  <c r="V40" i="22"/>
  <c r="H40" i="22"/>
  <c r="AV38" i="21"/>
  <c r="AZ38" i="21" s="1"/>
  <c r="BB38" i="21" s="1"/>
  <c r="AP40" i="21"/>
  <c r="AT40" i="21" s="1"/>
  <c r="AR40" i="21" s="1"/>
  <c r="AJ41" i="21"/>
  <c r="AG41" i="21"/>
  <c r="Y41" i="21"/>
  <c r="R42" i="21"/>
  <c r="X42" i="21" s="1"/>
  <c r="V42" i="21"/>
  <c r="AB42" i="21"/>
  <c r="AD42" i="21" s="1"/>
  <c r="AF42" i="21"/>
  <c r="BD42" i="21"/>
  <c r="BF42" i="21" s="1"/>
  <c r="B43" i="21"/>
  <c r="Q42" i="21"/>
  <c r="W42" i="21"/>
  <c r="AA42" i="21"/>
  <c r="U42" i="21"/>
  <c r="AC42" i="21"/>
  <c r="AT39" i="21"/>
  <c r="AR39" i="21" s="1"/>
  <c r="C40" i="21"/>
  <c r="AH41" i="21"/>
  <c r="D38" i="21"/>
  <c r="AY38" i="21"/>
  <c r="BA38" i="21" s="1"/>
  <c r="AY37" i="21"/>
  <c r="BA37" i="21" s="1"/>
  <c r="D37" i="21"/>
  <c r="BE40" i="21"/>
  <c r="BG40" i="21" s="1"/>
  <c r="S41" i="21"/>
  <c r="AE41" i="21"/>
  <c r="AI41" i="21"/>
  <c r="AQ41" i="21"/>
  <c r="Z41" i="21"/>
  <c r="BI41" i="22" l="1"/>
  <c r="X40" i="22"/>
  <c r="AB40" i="22"/>
  <c r="U41" i="22"/>
  <c r="BJ37" i="22"/>
  <c r="BL37" i="22" s="1"/>
  <c r="AK36" i="22"/>
  <c r="D31" i="22"/>
  <c r="AI40" i="22"/>
  <c r="AH40" i="22"/>
  <c r="AP41" i="21"/>
  <c r="AL36" i="22"/>
  <c r="AO37" i="22"/>
  <c r="BA37" i="22" s="1"/>
  <c r="BG37" i="22"/>
  <c r="BF37" i="22" s="1"/>
  <c r="BB38" i="22"/>
  <c r="AP38" i="22" s="1"/>
  <c r="AZ38" i="22" s="1"/>
  <c r="AA40" i="22"/>
  <c r="AN39" i="22"/>
  <c r="AF40" i="22"/>
  <c r="AD40" i="22"/>
  <c r="Z40" i="22"/>
  <c r="AM39" i="22"/>
  <c r="C39" i="22"/>
  <c r="AC40" i="22"/>
  <c r="T41" i="22"/>
  <c r="Q41" i="22"/>
  <c r="S41" i="22" s="1"/>
  <c r="W41" i="22"/>
  <c r="G41" i="22"/>
  <c r="K41" i="22" s="1"/>
  <c r="AG40" i="22"/>
  <c r="AE40" i="22"/>
  <c r="Y41" i="22"/>
  <c r="M41" i="22"/>
  <c r="O41" i="22" s="1"/>
  <c r="B42" i="22"/>
  <c r="BK41" i="22"/>
  <c r="AV40" i="21"/>
  <c r="AX40" i="21"/>
  <c r="AW40" i="21" s="1"/>
  <c r="D40" i="21" s="1"/>
  <c r="AH42" i="21"/>
  <c r="C41" i="21"/>
  <c r="AT41" i="21"/>
  <c r="AR41" i="21" s="1"/>
  <c r="AJ42" i="21"/>
  <c r="Y42" i="21"/>
  <c r="AG42" i="21"/>
  <c r="AM42" i="21"/>
  <c r="AO42" i="21" s="1"/>
  <c r="AQ42" i="21" s="1"/>
  <c r="Z42" i="21"/>
  <c r="BE41" i="21"/>
  <c r="BG41" i="21" s="1"/>
  <c r="AE42" i="21"/>
  <c r="S42" i="21"/>
  <c r="AI42" i="21"/>
  <c r="R43" i="21"/>
  <c r="X43" i="21" s="1"/>
  <c r="V43" i="21"/>
  <c r="U43" i="21"/>
  <c r="AA43" i="21"/>
  <c r="AF43" i="21"/>
  <c r="AC43" i="21"/>
  <c r="Q43" i="21"/>
  <c r="W43" i="21"/>
  <c r="AB43" i="21"/>
  <c r="AD43" i="21" s="1"/>
  <c r="B44" i="21"/>
  <c r="BD43" i="21"/>
  <c r="BF43" i="21" s="1"/>
  <c r="AU41" i="21"/>
  <c r="AS41" i="21" s="1"/>
  <c r="AV39" i="21"/>
  <c r="AX39" i="21"/>
  <c r="AW39" i="21" s="1"/>
  <c r="BI42" i="22" l="1"/>
  <c r="Q42" i="22"/>
  <c r="S42" i="22" s="1"/>
  <c r="BG38" i="22"/>
  <c r="BF38" i="22" s="1"/>
  <c r="AK38" i="22" s="1"/>
  <c r="BJ38" i="22"/>
  <c r="BL38" i="22" s="1"/>
  <c r="D32" i="22"/>
  <c r="P41" i="22"/>
  <c r="AH41" i="22"/>
  <c r="AI41" i="22"/>
  <c r="AO38" i="22"/>
  <c r="BA38" i="22" s="1"/>
  <c r="AK37" i="22"/>
  <c r="AL37" i="22"/>
  <c r="BC39" i="22"/>
  <c r="AQ39" i="22" s="1"/>
  <c r="BB39" i="22"/>
  <c r="AP39" i="22" s="1"/>
  <c r="AZ39" i="22" s="1"/>
  <c r="C40" i="22"/>
  <c r="AN40" i="22"/>
  <c r="AF41" i="22"/>
  <c r="AB41" i="22"/>
  <c r="AD41" i="22"/>
  <c r="L41" i="22"/>
  <c r="AW41" i="22" s="1"/>
  <c r="AY41" i="22" s="1"/>
  <c r="F41" i="22"/>
  <c r="V41" i="22"/>
  <c r="Z41" i="22"/>
  <c r="AC41" i="22"/>
  <c r="AA41" i="22"/>
  <c r="AE41" i="22"/>
  <c r="X41" i="22"/>
  <c r="W42" i="22"/>
  <c r="U42" i="22"/>
  <c r="Y42" i="22"/>
  <c r="AM40" i="22"/>
  <c r="AG41" i="22"/>
  <c r="H41" i="22"/>
  <c r="T42" i="22"/>
  <c r="B43" i="22"/>
  <c r="G42" i="22"/>
  <c r="K42" i="22" s="1"/>
  <c r="M42" i="22"/>
  <c r="O42" i="22" s="1"/>
  <c r="AY40" i="21"/>
  <c r="BA40" i="21" s="1"/>
  <c r="AP42" i="21"/>
  <c r="AT42" i="21" s="1"/>
  <c r="AR42" i="21" s="1"/>
  <c r="AM43" i="21"/>
  <c r="AO43" i="21" s="1"/>
  <c r="AZ39" i="21"/>
  <c r="BB39" i="21" s="1"/>
  <c r="AZ40" i="21"/>
  <c r="BB40" i="21" s="1"/>
  <c r="AX41" i="21"/>
  <c r="AW41" i="21" s="1"/>
  <c r="D41" i="21" s="1"/>
  <c r="S43" i="21"/>
  <c r="AI43" i="21"/>
  <c r="AE43" i="21"/>
  <c r="AB44" i="21"/>
  <c r="AD44" i="21" s="1"/>
  <c r="AF44" i="21"/>
  <c r="BD44" i="21"/>
  <c r="BF44" i="21" s="1"/>
  <c r="B45" i="21"/>
  <c r="Q44" i="21"/>
  <c r="U44" i="21"/>
  <c r="W44" i="21"/>
  <c r="R44" i="21"/>
  <c r="X44" i="21" s="1"/>
  <c r="V44" i="21"/>
  <c r="AA44" i="21"/>
  <c r="AC44" i="21"/>
  <c r="AG43" i="21"/>
  <c r="Y43" i="21"/>
  <c r="AJ43" i="21"/>
  <c r="BE42" i="21"/>
  <c r="BG42" i="21" s="1"/>
  <c r="C42" i="21"/>
  <c r="D39" i="21"/>
  <c r="AY39" i="21"/>
  <c r="BA39" i="21" s="1"/>
  <c r="Z43" i="21"/>
  <c r="AH43" i="21"/>
  <c r="AU42" i="21"/>
  <c r="AS42" i="21" s="1"/>
  <c r="AV41" i="21"/>
  <c r="AZ41" i="21" s="1"/>
  <c r="BB41" i="21" s="1"/>
  <c r="BI43" i="22" l="1"/>
  <c r="D33" i="22"/>
  <c r="M43" i="22"/>
  <c r="O43" i="22" s="1"/>
  <c r="AL38" i="22"/>
  <c r="BK42" i="22"/>
  <c r="BJ39" i="22"/>
  <c r="BL39" i="22" s="1"/>
  <c r="L42" i="22"/>
  <c r="AW42" i="22" s="1"/>
  <c r="AY42" i="22" s="1"/>
  <c r="AH42" i="22"/>
  <c r="AI42" i="22"/>
  <c r="BC40" i="22"/>
  <c r="AQ40" i="22" s="1"/>
  <c r="BB40" i="22"/>
  <c r="AP40" i="22" s="1"/>
  <c r="AZ40" i="22" s="1"/>
  <c r="AO39" i="22"/>
  <c r="BA39" i="22" s="1"/>
  <c r="BG39" i="22"/>
  <c r="BF39" i="22" s="1"/>
  <c r="P42" i="22"/>
  <c r="X42" i="22"/>
  <c r="AG42" i="22"/>
  <c r="H42" i="22"/>
  <c r="F42" i="22"/>
  <c r="Z42" i="22"/>
  <c r="AM41" i="22"/>
  <c r="Q43" i="22"/>
  <c r="S43" i="22" s="1"/>
  <c r="V42" i="22"/>
  <c r="AC42" i="22"/>
  <c r="AN41" i="22"/>
  <c r="AD42" i="22"/>
  <c r="AF42" i="22"/>
  <c r="AE42" i="22"/>
  <c r="C41" i="22"/>
  <c r="BJ40" i="22" s="1"/>
  <c r="BL40" i="22" s="1"/>
  <c r="AA42" i="22"/>
  <c r="AB42" i="22"/>
  <c r="Y43" i="22"/>
  <c r="W43" i="22"/>
  <c r="G43" i="22"/>
  <c r="K43" i="22" s="1"/>
  <c r="T43" i="22"/>
  <c r="B44" i="22"/>
  <c r="BK43" i="22"/>
  <c r="U43" i="22"/>
  <c r="AQ43" i="21"/>
  <c r="AU43" i="21" s="1"/>
  <c r="AS43" i="21" s="1"/>
  <c r="AX42" i="21"/>
  <c r="AW42" i="21" s="1"/>
  <c r="AY42" i="21" s="1"/>
  <c r="BA42" i="21" s="1"/>
  <c r="AY41" i="21"/>
  <c r="BA41" i="21" s="1"/>
  <c r="AH44" i="21"/>
  <c r="BE43" i="21"/>
  <c r="BG43" i="21" s="1"/>
  <c r="AP43" i="21"/>
  <c r="AM44" i="21"/>
  <c r="AO44" i="21" s="1"/>
  <c r="Z44" i="21"/>
  <c r="R45" i="21"/>
  <c r="X45" i="21" s="1"/>
  <c r="V45" i="21"/>
  <c r="U45" i="21"/>
  <c r="AA45" i="21"/>
  <c r="AF45" i="21"/>
  <c r="B46" i="21"/>
  <c r="Q45" i="21"/>
  <c r="AM45" i="21" s="1"/>
  <c r="AO45" i="21" s="1"/>
  <c r="W45" i="21"/>
  <c r="AB45" i="21"/>
  <c r="AD45" i="21" s="1"/>
  <c r="BD45" i="21"/>
  <c r="BF45" i="21" s="1"/>
  <c r="AC45" i="21"/>
  <c r="AV42" i="21"/>
  <c r="AJ44" i="21"/>
  <c r="AG44" i="21"/>
  <c r="Y44" i="21"/>
  <c r="C44" i="21" s="1"/>
  <c r="C43" i="21"/>
  <c r="AE44" i="21"/>
  <c r="AI44" i="21"/>
  <c r="S44" i="21"/>
  <c r="BI44" i="22" l="1"/>
  <c r="W44" i="22"/>
  <c r="D34" i="22"/>
  <c r="P43" i="22"/>
  <c r="AH43" i="22"/>
  <c r="AI43" i="22"/>
  <c r="BG40" i="22"/>
  <c r="BF40" i="22" s="1"/>
  <c r="AO40" i="22"/>
  <c r="BA40" i="22" s="1"/>
  <c r="BC41" i="22"/>
  <c r="AQ41" i="22" s="1"/>
  <c r="BB41" i="22"/>
  <c r="AP41" i="22" s="1"/>
  <c r="AZ41" i="22" s="1"/>
  <c r="AK39" i="22"/>
  <c r="AL39" i="22"/>
  <c r="AM42" i="22"/>
  <c r="AN42" i="22"/>
  <c r="BC42" i="22" s="1"/>
  <c r="AQ42" i="22" s="1"/>
  <c r="F43" i="22"/>
  <c r="AA43" i="22"/>
  <c r="C42" i="22"/>
  <c r="Q44" i="22"/>
  <c r="S44" i="22" s="1"/>
  <c r="T44" i="22"/>
  <c r="P44" i="22" s="1"/>
  <c r="G44" i="22"/>
  <c r="K44" i="22" s="1"/>
  <c r="Y44" i="22"/>
  <c r="AF43" i="22"/>
  <c r="AE43" i="22"/>
  <c r="U44" i="22"/>
  <c r="M44" i="22"/>
  <c r="O44" i="22" s="1"/>
  <c r="V43" i="22"/>
  <c r="AG43" i="22"/>
  <c r="H43" i="22"/>
  <c r="AD43" i="22"/>
  <c r="X43" i="22"/>
  <c r="AB43" i="22"/>
  <c r="L43" i="22"/>
  <c r="AW43" i="22" s="1"/>
  <c r="AY43" i="22" s="1"/>
  <c r="Z43" i="22"/>
  <c r="AC43" i="22"/>
  <c r="B45" i="22"/>
  <c r="BK44" i="22"/>
  <c r="AZ42" i="21"/>
  <c r="BB42" i="21" s="1"/>
  <c r="AQ44" i="21"/>
  <c r="AU44" i="21" s="1"/>
  <c r="AS44" i="21" s="1"/>
  <c r="D42" i="21"/>
  <c r="AP44" i="21"/>
  <c r="AT44" i="21" s="1"/>
  <c r="AR44" i="21" s="1"/>
  <c r="AH45" i="21"/>
  <c r="Z45" i="21"/>
  <c r="AB46" i="21"/>
  <c r="AD46" i="21" s="1"/>
  <c r="AF46" i="21"/>
  <c r="BD46" i="21"/>
  <c r="BF46" i="21" s="1"/>
  <c r="B47" i="21"/>
  <c r="Q46" i="21"/>
  <c r="U46" i="21"/>
  <c r="AC46" i="21"/>
  <c r="R46" i="21"/>
  <c r="X46" i="21" s="1"/>
  <c r="V46" i="21"/>
  <c r="AA46" i="21"/>
  <c r="W46" i="21"/>
  <c r="AT43" i="21"/>
  <c r="AR43" i="21" s="1"/>
  <c r="BE44" i="21"/>
  <c r="BG44" i="21" s="1"/>
  <c r="AG45" i="21"/>
  <c r="Y45" i="21"/>
  <c r="AJ45" i="21"/>
  <c r="S45" i="21"/>
  <c r="AI45" i="21"/>
  <c r="AE45" i="21"/>
  <c r="AP45" i="21" s="1"/>
  <c r="BI45" i="22" l="1"/>
  <c r="T45" i="22"/>
  <c r="F45" i="22" s="1"/>
  <c r="BJ41" i="22"/>
  <c r="BL41" i="22" s="1"/>
  <c r="AK40" i="22"/>
  <c r="D35" i="22"/>
  <c r="L44" i="22"/>
  <c r="AW44" i="22" s="1"/>
  <c r="AY44" i="22" s="1"/>
  <c r="AH44" i="22"/>
  <c r="AI44" i="22"/>
  <c r="AL40" i="22"/>
  <c r="AO41" i="22"/>
  <c r="BA41" i="22" s="1"/>
  <c r="BB42" i="22"/>
  <c r="AP42" i="22" s="1"/>
  <c r="AZ42" i="22" s="1"/>
  <c r="BG41" i="22"/>
  <c r="BF41" i="22" s="1"/>
  <c r="F44" i="22"/>
  <c r="H44" i="22"/>
  <c r="V44" i="22"/>
  <c r="Z44" i="22"/>
  <c r="X44" i="22"/>
  <c r="AM43" i="22"/>
  <c r="AD44" i="22"/>
  <c r="AE44" i="22"/>
  <c r="AB44" i="22"/>
  <c r="AA44" i="22"/>
  <c r="G45" i="22"/>
  <c r="K45" i="22" s="1"/>
  <c r="AG44" i="22"/>
  <c r="AF44" i="22"/>
  <c r="AC44" i="22"/>
  <c r="Y45" i="22"/>
  <c r="Q45" i="22"/>
  <c r="S45" i="22" s="1"/>
  <c r="U45" i="22"/>
  <c r="M45" i="22"/>
  <c r="O45" i="22" s="1"/>
  <c r="AN43" i="22"/>
  <c r="C43" i="22"/>
  <c r="BJ42" i="22" s="1"/>
  <c r="BL42" i="22" s="1"/>
  <c r="B46" i="22"/>
  <c r="BK45" i="22"/>
  <c r="W45" i="22"/>
  <c r="L45" i="22"/>
  <c r="AW45" i="22" s="1"/>
  <c r="AY45" i="22" s="1"/>
  <c r="P45" i="22"/>
  <c r="X45" i="22"/>
  <c r="V45" i="22"/>
  <c r="AH46" i="21"/>
  <c r="AV44" i="21"/>
  <c r="AZ44" i="21" s="1"/>
  <c r="BB44" i="21" s="1"/>
  <c r="AX44" i="21"/>
  <c r="AW44" i="21" s="1"/>
  <c r="AY44" i="21" s="1"/>
  <c r="BA44" i="21" s="1"/>
  <c r="AQ45" i="21"/>
  <c r="AU45" i="21" s="1"/>
  <c r="AS45" i="21" s="1"/>
  <c r="AT45" i="21"/>
  <c r="AR45" i="21" s="1"/>
  <c r="D44" i="21"/>
  <c r="AE46" i="21"/>
  <c r="AI46" i="21"/>
  <c r="S46" i="21"/>
  <c r="AJ46" i="21"/>
  <c r="AG46" i="21"/>
  <c r="Y46" i="21"/>
  <c r="BE45" i="21"/>
  <c r="BG45" i="21" s="1"/>
  <c r="AV43" i="21"/>
  <c r="AX43" i="21"/>
  <c r="AW43" i="21" s="1"/>
  <c r="AM46" i="21"/>
  <c r="AO46" i="21" s="1"/>
  <c r="Z46" i="21"/>
  <c r="C45" i="21"/>
  <c r="R47" i="21"/>
  <c r="X47" i="21" s="1"/>
  <c r="V47" i="21"/>
  <c r="U47" i="21"/>
  <c r="AA47" i="21"/>
  <c r="AF47" i="21"/>
  <c r="B48" i="21"/>
  <c r="Q47" i="21"/>
  <c r="W47" i="21"/>
  <c r="AB47" i="21"/>
  <c r="AD47" i="21" s="1"/>
  <c r="BD47" i="21"/>
  <c r="BF47" i="21" s="1"/>
  <c r="AC47" i="21"/>
  <c r="H45" i="22" l="1"/>
  <c r="BI51" i="22"/>
  <c r="BI46" i="22"/>
  <c r="AB45" i="22"/>
  <c r="AK41" i="22"/>
  <c r="D36" i="22"/>
  <c r="Y46" i="22"/>
  <c r="AI45" i="22"/>
  <c r="AH45" i="22"/>
  <c r="BG42" i="22"/>
  <c r="BF42" i="22" s="1"/>
  <c r="BC43" i="22"/>
  <c r="AQ43" i="22" s="1"/>
  <c r="BB43" i="22"/>
  <c r="AP43" i="22" s="1"/>
  <c r="AZ43" i="22" s="1"/>
  <c r="AO42" i="22"/>
  <c r="BA42" i="22" s="1"/>
  <c r="AL41" i="22"/>
  <c r="AE45" i="22"/>
  <c r="AD45" i="22"/>
  <c r="AF45" i="22"/>
  <c r="M46" i="22"/>
  <c r="O46" i="22" s="1"/>
  <c r="AN44" i="22"/>
  <c r="C44" i="22"/>
  <c r="AM44" i="22"/>
  <c r="AC45" i="22"/>
  <c r="Q46" i="22"/>
  <c r="S46" i="22" s="1"/>
  <c r="AG45" i="22"/>
  <c r="Z45" i="22"/>
  <c r="T46" i="22"/>
  <c r="AA45" i="22"/>
  <c r="G46" i="22"/>
  <c r="K46" i="22" s="1"/>
  <c r="W46" i="22"/>
  <c r="B47" i="22"/>
  <c r="BI47" i="22" s="1"/>
  <c r="U46" i="22"/>
  <c r="AQ46" i="21"/>
  <c r="AU46" i="21" s="1"/>
  <c r="AS46" i="21" s="1"/>
  <c r="AX45" i="21"/>
  <c r="AW45" i="21" s="1"/>
  <c r="AZ43" i="21"/>
  <c r="BB43" i="21" s="1"/>
  <c r="AV45" i="21"/>
  <c r="AZ45" i="21" s="1"/>
  <c r="BB45" i="21" s="1"/>
  <c r="AM47" i="21"/>
  <c r="AO47" i="21" s="1"/>
  <c r="AP46" i="21"/>
  <c r="AG47" i="21"/>
  <c r="Y47" i="21"/>
  <c r="AJ47" i="21"/>
  <c r="S47" i="21"/>
  <c r="AI47" i="21"/>
  <c r="AE47" i="21"/>
  <c r="BE46" i="21"/>
  <c r="BG46" i="21" s="1"/>
  <c r="AB48" i="21"/>
  <c r="AD48" i="21" s="1"/>
  <c r="AF48" i="21"/>
  <c r="BD48" i="21"/>
  <c r="BF48" i="21" s="1"/>
  <c r="B49" i="21"/>
  <c r="Q48" i="21"/>
  <c r="U48" i="21"/>
  <c r="AC48" i="21"/>
  <c r="R48" i="21"/>
  <c r="X48" i="21" s="1"/>
  <c r="V48" i="21"/>
  <c r="AA48" i="21"/>
  <c r="W48" i="21"/>
  <c r="D45" i="21"/>
  <c r="AY45" i="21"/>
  <c r="BA45" i="21" s="1"/>
  <c r="Z47" i="21"/>
  <c r="AH47" i="21"/>
  <c r="D43" i="21"/>
  <c r="AY43" i="21"/>
  <c r="BA43" i="21" s="1"/>
  <c r="C46" i="21"/>
  <c r="M47" i="22" l="1"/>
  <c r="O47" i="22" s="1"/>
  <c r="BK46" i="22"/>
  <c r="BJ43" i="22"/>
  <c r="BL43" i="22" s="1"/>
  <c r="AL42" i="22"/>
  <c r="D37" i="22"/>
  <c r="P46" i="22"/>
  <c r="AH46" i="22"/>
  <c r="AI46" i="22"/>
  <c r="AQ47" i="21"/>
  <c r="AK42" i="22"/>
  <c r="BB44" i="22"/>
  <c r="AP44" i="22" s="1"/>
  <c r="AZ44" i="22" s="1"/>
  <c r="AO43" i="22"/>
  <c r="BA43" i="22" s="1"/>
  <c r="BC44" i="22"/>
  <c r="AQ44" i="22" s="1"/>
  <c r="BG43" i="22"/>
  <c r="BF43" i="22" s="1"/>
  <c r="AM45" i="22"/>
  <c r="AN45" i="22"/>
  <c r="AA46" i="22"/>
  <c r="V46" i="22"/>
  <c r="W47" i="22"/>
  <c r="Y47" i="22"/>
  <c r="AB46" i="22"/>
  <c r="H46" i="22"/>
  <c r="L46" i="22"/>
  <c r="AW46" i="22" s="1"/>
  <c r="AY46" i="22" s="1"/>
  <c r="C45" i="22"/>
  <c r="BJ44" i="22" s="1"/>
  <c r="BL44" i="22" s="1"/>
  <c r="Z46" i="22"/>
  <c r="AE46" i="22"/>
  <c r="AF46" i="22"/>
  <c r="U47" i="22"/>
  <c r="X46" i="22"/>
  <c r="F46" i="22"/>
  <c r="AG46" i="22"/>
  <c r="AC46" i="22"/>
  <c r="AD46" i="22"/>
  <c r="T47" i="22"/>
  <c r="Q47" i="22"/>
  <c r="S47" i="22" s="1"/>
  <c r="G47" i="22"/>
  <c r="K47" i="22" s="1"/>
  <c r="B48" i="22"/>
  <c r="BI48" i="22" s="1"/>
  <c r="BK47" i="22"/>
  <c r="AH48" i="21"/>
  <c r="AP47" i="21"/>
  <c r="AT47" i="21" s="1"/>
  <c r="AR47" i="21" s="1"/>
  <c r="AJ48" i="21"/>
  <c r="AG48" i="21"/>
  <c r="Y48" i="21"/>
  <c r="R49" i="21"/>
  <c r="X49" i="21" s="1"/>
  <c r="V49" i="21"/>
  <c r="U49" i="21"/>
  <c r="AA49" i="21"/>
  <c r="AF49" i="21"/>
  <c r="Q49" i="21"/>
  <c r="AM49" i="21" s="1"/>
  <c r="AO49" i="21" s="1"/>
  <c r="W49" i="21"/>
  <c r="AB49" i="21"/>
  <c r="AD49" i="21" s="1"/>
  <c r="AC49" i="21"/>
  <c r="BD49" i="21"/>
  <c r="BF49" i="21" s="1"/>
  <c r="B50" i="21"/>
  <c r="AT46" i="21"/>
  <c r="AR46" i="21" s="1"/>
  <c r="BE47" i="21"/>
  <c r="BG47" i="21" s="1"/>
  <c r="AE48" i="21"/>
  <c r="S48" i="21"/>
  <c r="AI48" i="21"/>
  <c r="C47" i="21"/>
  <c r="AU47" i="21"/>
  <c r="AS47" i="21" s="1"/>
  <c r="AM48" i="21"/>
  <c r="AO48" i="21" s="1"/>
  <c r="Z48" i="21"/>
  <c r="Q48" i="22" l="1"/>
  <c r="S48" i="22" s="1"/>
  <c r="AK43" i="22"/>
  <c r="D38" i="22"/>
  <c r="AH47" i="22"/>
  <c r="AI47" i="22"/>
  <c r="AH49" i="21"/>
  <c r="AO44" i="22"/>
  <c r="BA44" i="22" s="1"/>
  <c r="BG44" i="22"/>
  <c r="BF44" i="22" s="1"/>
  <c r="AL43" i="22"/>
  <c r="BB45" i="22"/>
  <c r="AP45" i="22" s="1"/>
  <c r="AZ45" i="22" s="1"/>
  <c r="BC45" i="22"/>
  <c r="AQ45" i="22" s="1"/>
  <c r="C46" i="22"/>
  <c r="Y48" i="22"/>
  <c r="T48" i="22"/>
  <c r="AB47" i="22"/>
  <c r="W48" i="22"/>
  <c r="U48" i="22"/>
  <c r="M48" i="22"/>
  <c r="O48" i="22" s="1"/>
  <c r="V47" i="22"/>
  <c r="G48" i="22"/>
  <c r="K48" i="22" s="1"/>
  <c r="H47" i="22"/>
  <c r="AM46" i="22"/>
  <c r="L47" i="22"/>
  <c r="AW47" i="22" s="1"/>
  <c r="AY47" i="22" s="1"/>
  <c r="AN46" i="22"/>
  <c r="BC46" i="22" s="1"/>
  <c r="AQ46" i="22" s="1"/>
  <c r="Z47" i="22"/>
  <c r="F47" i="22"/>
  <c r="AA47" i="22"/>
  <c r="AD47" i="22"/>
  <c r="AF47" i="22"/>
  <c r="X47" i="22"/>
  <c r="P47" i="22"/>
  <c r="AG47" i="22"/>
  <c r="AE47" i="22"/>
  <c r="AC47" i="22"/>
  <c r="B49" i="22"/>
  <c r="BI49" i="22" s="1"/>
  <c r="BK48" i="22"/>
  <c r="AQ48" i="21"/>
  <c r="AU48" i="21" s="1"/>
  <c r="AS48" i="21" s="1"/>
  <c r="AP48" i="21"/>
  <c r="AT48" i="21" s="1"/>
  <c r="AR48" i="21" s="1"/>
  <c r="AX47" i="21"/>
  <c r="AW47" i="21" s="1"/>
  <c r="D47" i="21" s="1"/>
  <c r="AV46" i="21"/>
  <c r="AX46" i="21"/>
  <c r="AW46" i="21" s="1"/>
  <c r="AG49" i="21"/>
  <c r="AQ49" i="21" s="1"/>
  <c r="Y49" i="21"/>
  <c r="AJ49" i="21"/>
  <c r="BE48" i="21"/>
  <c r="BG48" i="21" s="1"/>
  <c r="Z49" i="21"/>
  <c r="AV47" i="21"/>
  <c r="AZ47" i="21" s="1"/>
  <c r="BB47" i="21" s="1"/>
  <c r="AB50" i="21"/>
  <c r="AD50" i="21" s="1"/>
  <c r="AF50" i="21"/>
  <c r="BD50" i="21"/>
  <c r="BF50" i="21" s="1"/>
  <c r="B51" i="21"/>
  <c r="Q50" i="21"/>
  <c r="U50" i="21"/>
  <c r="W50" i="21"/>
  <c r="R50" i="21"/>
  <c r="X50" i="21" s="1"/>
  <c r="V50" i="21"/>
  <c r="AA50" i="21"/>
  <c r="AC50" i="21"/>
  <c r="AI49" i="21"/>
  <c r="AE49" i="21"/>
  <c r="AP49" i="21" s="1"/>
  <c r="S49" i="21"/>
  <c r="C48" i="21"/>
  <c r="C3" i="2"/>
  <c r="M49" i="22" l="1"/>
  <c r="O49" i="22" s="1"/>
  <c r="BJ45" i="22"/>
  <c r="BL45" i="22" s="1"/>
  <c r="AK44" i="22"/>
  <c r="D39" i="22"/>
  <c r="AH48" i="22"/>
  <c r="AI48" i="22"/>
  <c r="AH50" i="21"/>
  <c r="BG45" i="22"/>
  <c r="BF45" i="22" s="1"/>
  <c r="AL44" i="22"/>
  <c r="AO45" i="22"/>
  <c r="BA45" i="22" s="1"/>
  <c r="BB46" i="22"/>
  <c r="AP46" i="22" s="1"/>
  <c r="AZ46" i="22" s="1"/>
  <c r="AC48" i="22"/>
  <c r="F48" i="22"/>
  <c r="Z48" i="22"/>
  <c r="V48" i="22"/>
  <c r="L48" i="22"/>
  <c r="AW48" i="22" s="1"/>
  <c r="AY48" i="22" s="1"/>
  <c r="P48" i="22"/>
  <c r="H48" i="22"/>
  <c r="X48" i="22"/>
  <c r="AB48" i="22"/>
  <c r="AG48" i="22"/>
  <c r="AE48" i="22"/>
  <c r="AD48" i="22"/>
  <c r="AA48" i="22"/>
  <c r="AF48" i="22"/>
  <c r="G49" i="22"/>
  <c r="K49" i="22" s="1"/>
  <c r="T49" i="22"/>
  <c r="U49" i="22"/>
  <c r="Q49" i="22"/>
  <c r="S49" i="22" s="1"/>
  <c r="C47" i="22"/>
  <c r="AM47" i="22"/>
  <c r="Y49" i="22"/>
  <c r="AN47" i="22"/>
  <c r="W49" i="22"/>
  <c r="B50" i="22"/>
  <c r="BI50" i="22" s="1"/>
  <c r="AV48" i="21"/>
  <c r="AZ48" i="21" s="1"/>
  <c r="BB48" i="21" s="1"/>
  <c r="AX48" i="21"/>
  <c r="AW48" i="21" s="1"/>
  <c r="AY48" i="21" s="1"/>
  <c r="BA48" i="21" s="1"/>
  <c r="AY47" i="21"/>
  <c r="BA47" i="21" s="1"/>
  <c r="AT49" i="21"/>
  <c r="AR49" i="21" s="1"/>
  <c r="AU49" i="21"/>
  <c r="AS49" i="21" s="1"/>
  <c r="AZ46" i="21"/>
  <c r="BB46" i="21" s="1"/>
  <c r="R51" i="21"/>
  <c r="X51" i="21" s="1"/>
  <c r="V51" i="21"/>
  <c r="U51" i="21"/>
  <c r="AA51" i="21"/>
  <c r="AF51" i="21"/>
  <c r="BD51" i="21"/>
  <c r="BF51" i="21" s="1"/>
  <c r="B52" i="21"/>
  <c r="Q51" i="21"/>
  <c r="W51" i="21"/>
  <c r="AB51" i="21"/>
  <c r="AD51" i="21" s="1"/>
  <c r="AC51" i="21"/>
  <c r="AJ50" i="21"/>
  <c r="AG50" i="21"/>
  <c r="Y50" i="21"/>
  <c r="D46" i="21"/>
  <c r="AY46" i="21"/>
  <c r="BA46" i="21" s="1"/>
  <c r="AE50" i="21"/>
  <c r="S50" i="21"/>
  <c r="AI50" i="21"/>
  <c r="BE49" i="21"/>
  <c r="BG49" i="21" s="1"/>
  <c r="C49" i="21"/>
  <c r="AM50" i="21"/>
  <c r="AO50" i="21" s="1"/>
  <c r="AQ50" i="21" s="1"/>
  <c r="Z50" i="21"/>
  <c r="D48" i="21"/>
  <c r="BK50" i="22" l="1"/>
  <c r="BK49" i="22"/>
  <c r="BJ46" i="22"/>
  <c r="BL46" i="22" s="1"/>
  <c r="AK45" i="22"/>
  <c r="D40" i="22"/>
  <c r="F49" i="22"/>
  <c r="AH49" i="22"/>
  <c r="AI49" i="22"/>
  <c r="AV49" i="21"/>
  <c r="AZ49" i="21" s="1"/>
  <c r="BB49" i="21" s="1"/>
  <c r="AL45" i="22"/>
  <c r="AO46" i="22"/>
  <c r="BA46" i="22" s="1"/>
  <c r="BC47" i="22"/>
  <c r="AQ47" i="22" s="1"/>
  <c r="BB47" i="22"/>
  <c r="AP47" i="22" s="1"/>
  <c r="AZ47" i="22" s="1"/>
  <c r="BG46" i="22"/>
  <c r="BF46" i="22" s="1"/>
  <c r="D41" i="22" s="1"/>
  <c r="C48" i="22"/>
  <c r="L49" i="22"/>
  <c r="AW49" i="22" s="1"/>
  <c r="AY49" i="22" s="1"/>
  <c r="AN48" i="22"/>
  <c r="AM48" i="22"/>
  <c r="V49" i="22"/>
  <c r="X49" i="22"/>
  <c r="P49" i="22"/>
  <c r="H49" i="22"/>
  <c r="AE49" i="22"/>
  <c r="AF49" i="22"/>
  <c r="AC49" i="22"/>
  <c r="AD49" i="22"/>
  <c r="AB49" i="22"/>
  <c r="AA49" i="22"/>
  <c r="AG49" i="22"/>
  <c r="Z49" i="22"/>
  <c r="M50" i="22"/>
  <c r="O50" i="22" s="1"/>
  <c r="W50" i="22"/>
  <c r="Q50" i="22"/>
  <c r="S50" i="22" s="1"/>
  <c r="T50" i="22"/>
  <c r="Y50" i="22"/>
  <c r="G50" i="22"/>
  <c r="K50" i="22" s="1"/>
  <c r="U50" i="22"/>
  <c r="Q51" i="22"/>
  <c r="S51" i="22" s="1"/>
  <c r="M51" i="22"/>
  <c r="O51" i="22" s="1"/>
  <c r="Y51" i="22"/>
  <c r="U51" i="22"/>
  <c r="W51" i="22"/>
  <c r="T51" i="22"/>
  <c r="G51" i="22"/>
  <c r="BK51" i="22"/>
  <c r="AX49" i="21"/>
  <c r="AW49" i="21" s="1"/>
  <c r="AP50" i="21"/>
  <c r="AT50" i="21" s="1"/>
  <c r="AR50" i="21" s="1"/>
  <c r="AX50" i="21" s="1"/>
  <c r="AW50" i="21" s="1"/>
  <c r="AH51" i="21"/>
  <c r="AU50" i="21"/>
  <c r="AS50" i="21" s="1"/>
  <c r="AJ51" i="21"/>
  <c r="AG51" i="21"/>
  <c r="Y51" i="21"/>
  <c r="R52" i="21"/>
  <c r="X52" i="21" s="1"/>
  <c r="V52" i="21"/>
  <c r="AF52" i="21"/>
  <c r="BD52" i="21"/>
  <c r="BF52" i="21" s="1"/>
  <c r="W52" i="21"/>
  <c r="AA52" i="21"/>
  <c r="Q52" i="21"/>
  <c r="U52" i="21"/>
  <c r="AC52" i="21"/>
  <c r="AB52" i="21"/>
  <c r="AD52" i="21" s="1"/>
  <c r="AE51" i="21"/>
  <c r="AI51" i="21"/>
  <c r="S51" i="21"/>
  <c r="BE50" i="21"/>
  <c r="BG50" i="21" s="1"/>
  <c r="D49" i="21"/>
  <c r="AY49" i="21"/>
  <c r="BA49" i="21" s="1"/>
  <c r="C50" i="21"/>
  <c r="Z51" i="21"/>
  <c r="AM51" i="21"/>
  <c r="AO51" i="21" s="1"/>
  <c r="BJ47" i="22" l="1"/>
  <c r="BL47" i="22" s="1"/>
  <c r="AH51" i="22"/>
  <c r="AI51" i="22"/>
  <c r="F50" i="22"/>
  <c r="AH50" i="22"/>
  <c r="AI50" i="22"/>
  <c r="AL46" i="22"/>
  <c r="BB48" i="22"/>
  <c r="AP48" i="22" s="1"/>
  <c r="AZ48" i="22" s="1"/>
  <c r="AO47" i="22"/>
  <c r="BA47" i="22" s="1"/>
  <c r="AK46" i="22"/>
  <c r="BC48" i="22"/>
  <c r="AQ48" i="22" s="1"/>
  <c r="BG47" i="22"/>
  <c r="BF47" i="22" s="1"/>
  <c r="AM49" i="22"/>
  <c r="AN49" i="22"/>
  <c r="H50" i="22"/>
  <c r="V50" i="22"/>
  <c r="C49" i="22"/>
  <c r="AB50" i="22"/>
  <c r="AF50" i="22"/>
  <c r="X50" i="22"/>
  <c r="AG50" i="22"/>
  <c r="P50" i="22"/>
  <c r="AA50" i="22"/>
  <c r="AD50" i="22"/>
  <c r="L50" i="22"/>
  <c r="AW50" i="22" s="1"/>
  <c r="AY50" i="22" s="1"/>
  <c r="AE50" i="22"/>
  <c r="AC50" i="22"/>
  <c r="Z50" i="22"/>
  <c r="AA51" i="22"/>
  <c r="AC51" i="22"/>
  <c r="K51" i="22"/>
  <c r="P51" i="22"/>
  <c r="L51" i="22"/>
  <c r="AW51" i="22" s="1"/>
  <c r="AY51" i="22" s="1"/>
  <c r="F51" i="22"/>
  <c r="AB51" i="22"/>
  <c r="Z51" i="22"/>
  <c r="X51" i="22"/>
  <c r="AF51" i="22"/>
  <c r="V51" i="22"/>
  <c r="H51" i="22"/>
  <c r="AE51" i="22"/>
  <c r="AQ51" i="21"/>
  <c r="AU51" i="21" s="1"/>
  <c r="AS51" i="21" s="1"/>
  <c r="AV50" i="21"/>
  <c r="AZ50" i="21" s="1"/>
  <c r="BB50" i="21" s="1"/>
  <c r="AG51" i="22"/>
  <c r="AD51" i="22"/>
  <c r="AH52" i="21"/>
  <c r="AP51" i="21"/>
  <c r="AT51" i="21" s="1"/>
  <c r="AR51" i="21" s="1"/>
  <c r="AJ52" i="21"/>
  <c r="Y52" i="21"/>
  <c r="AG52" i="21"/>
  <c r="S52" i="21"/>
  <c r="AE52" i="21"/>
  <c r="AI52" i="21"/>
  <c r="BE51" i="21"/>
  <c r="BG51" i="21" s="1"/>
  <c r="AM52" i="21"/>
  <c r="AO52" i="21" s="1"/>
  <c r="C51" i="21"/>
  <c r="D50" i="21"/>
  <c r="AY50" i="21"/>
  <c r="BA50" i="21" s="1"/>
  <c r="Z52" i="21"/>
  <c r="BJ48" i="22" l="1"/>
  <c r="BL48" i="22" s="1"/>
  <c r="BG48" i="22"/>
  <c r="BF48" i="22" s="1"/>
  <c r="AK48" i="22" s="1"/>
  <c r="AK47" i="22"/>
  <c r="D42" i="22"/>
  <c r="AQ52" i="21"/>
  <c r="AU52" i="21" s="1"/>
  <c r="AS52" i="21" s="1"/>
  <c r="AO48" i="22"/>
  <c r="BA48" i="22" s="1"/>
  <c r="D47" i="22"/>
  <c r="AL47" i="22"/>
  <c r="BC49" i="22"/>
  <c r="AQ49" i="22" s="1"/>
  <c r="BB49" i="22"/>
  <c r="AP49" i="22" s="1"/>
  <c r="AZ49" i="22" s="1"/>
  <c r="AN50" i="22"/>
  <c r="BC50" i="22" s="1"/>
  <c r="AQ50" i="22" s="1"/>
  <c r="C50" i="22"/>
  <c r="AM50" i="22"/>
  <c r="C51" i="22"/>
  <c r="BJ51" i="22" s="1"/>
  <c r="BL51" i="22" s="1"/>
  <c r="AN51" i="22"/>
  <c r="AM51" i="22"/>
  <c r="D48" i="22"/>
  <c r="AV51" i="21"/>
  <c r="AZ51" i="21" s="1"/>
  <c r="BB51" i="21" s="1"/>
  <c r="AX51" i="21"/>
  <c r="AW51" i="21" s="1"/>
  <c r="AP52" i="21"/>
  <c r="AT52" i="21" s="1"/>
  <c r="AR52" i="21" s="1"/>
  <c r="C52" i="21"/>
  <c r="BE52" i="21"/>
  <c r="BG52" i="21" s="1"/>
  <c r="D51" i="21"/>
  <c r="AY51" i="21"/>
  <c r="BA51" i="21" s="1"/>
  <c r="D43" i="22" l="1"/>
  <c r="AL48" i="22"/>
  <c r="BJ50" i="22"/>
  <c r="BL50" i="22" s="1"/>
  <c r="BJ49" i="22"/>
  <c r="BL49" i="22" s="1"/>
  <c r="BB51" i="22"/>
  <c r="AP51" i="22" s="1"/>
  <c r="AZ51" i="22" s="1"/>
  <c r="BB50" i="22"/>
  <c r="AP50" i="22" s="1"/>
  <c r="AZ50" i="22" s="1"/>
  <c r="BG49" i="22"/>
  <c r="BF49" i="22" s="1"/>
  <c r="AO49" i="22"/>
  <c r="BA49" i="22" s="1"/>
  <c r="AL49" i="22" s="1"/>
  <c r="BC51" i="22"/>
  <c r="AQ51" i="22" s="1"/>
  <c r="BG51" i="22" s="1"/>
  <c r="BF51" i="22" s="1"/>
  <c r="D46" i="22" s="1"/>
  <c r="AV52" i="21"/>
  <c r="AZ52" i="21" s="1"/>
  <c r="BB52" i="21" s="1"/>
  <c r="AX52" i="21"/>
  <c r="AW52" i="21" s="1"/>
  <c r="AY52" i="21" s="1"/>
  <c r="BA52" i="21" s="1"/>
  <c r="D49" i="22" l="1"/>
  <c r="D44" i="22"/>
  <c r="BG50" i="22"/>
  <c r="BF50" i="22" s="1"/>
  <c r="AO50" i="22"/>
  <c r="BA50" i="22" s="1"/>
  <c r="AO51" i="22"/>
  <c r="BA51" i="22" s="1"/>
  <c r="AL51" i="22" s="1"/>
  <c r="AK49" i="22"/>
  <c r="AK51" i="22"/>
  <c r="D51" i="22"/>
  <c r="D52" i="21"/>
  <c r="D50" i="22" l="1"/>
  <c r="D45" i="22"/>
  <c r="AL50" i="22"/>
  <c r="AK50" i="22"/>
  <c r="C5" i="2" l="1"/>
  <c r="C28" i="2" l="1"/>
  <c r="C25" i="2"/>
  <c r="C22" i="2"/>
  <c r="C6" i="2" l="1"/>
  <c r="C10" i="2" l="1"/>
  <c r="C16" i="2" s="1"/>
  <c r="C33" i="2" l="1"/>
  <c r="C32" i="2"/>
  <c r="D21" i="2"/>
  <c r="D24" i="2" s="1"/>
  <c r="D27" i="2" s="1"/>
  <c r="D22" i="2"/>
  <c r="C21" i="2"/>
  <c r="C24" i="2" s="1"/>
  <c r="C27" i="2" s="1"/>
  <c r="D23" i="2"/>
  <c r="D32" i="2" s="1"/>
  <c r="C20" i="2"/>
  <c r="C11" i="2"/>
  <c r="D25" i="2" l="1"/>
  <c r="C23" i="2"/>
  <c r="L35" i="2" s="1"/>
  <c r="C29" i="2"/>
  <c r="C26" i="2"/>
  <c r="D28" i="2" l="1"/>
  <c r="D29" i="2" s="1"/>
  <c r="D33" i="2"/>
  <c r="C14" i="2" s="1"/>
  <c r="D26" i="2"/>
  <c r="C15" i="2" l="1"/>
  <c r="AL18" i="22" l="1"/>
</calcChain>
</file>

<file path=xl/comments1.xml><?xml version="1.0" encoding="utf-8"?>
<comments xmlns="http://schemas.openxmlformats.org/spreadsheetml/2006/main">
  <authors>
    <author>dber</author>
  </authors>
  <commentList>
    <comment ref="A9" authorId="0" shapeId="0">
      <text>
        <r>
          <rPr>
            <b/>
            <sz val="9"/>
            <color indexed="81"/>
            <rFont val="Tahoma"/>
            <family val="2"/>
          </rPr>
          <t xml:space="preserve">dber: </t>
        </r>
        <r>
          <rPr>
            <sz val="9"/>
            <color indexed="81"/>
            <rFont val="Tahoma"/>
            <family val="2"/>
          </rPr>
          <t xml:space="preserve">simplifie le calcul mais a confirmer
</t>
        </r>
      </text>
    </comment>
  </commentList>
</comments>
</file>

<file path=xl/comments2.xml><?xml version="1.0" encoding="utf-8"?>
<comments xmlns="http://schemas.openxmlformats.org/spreadsheetml/2006/main">
  <authors>
    <author>dber</author>
  </authors>
  <commentList>
    <comment ref="C4" authorId="0" shapeId="0">
      <text>
        <r>
          <rPr>
            <b/>
            <sz val="9"/>
            <color indexed="81"/>
            <rFont val="Tahoma"/>
            <family val="2"/>
          </rPr>
          <t>dber:</t>
        </r>
        <r>
          <rPr>
            <sz val="9"/>
            <color indexed="81"/>
            <rFont val="Tahoma"/>
            <family val="2"/>
          </rPr>
          <t xml:space="preserve">
h:1700mm ciseau replié
</t>
        </r>
      </text>
    </comment>
    <comment ref="C16" authorId="0" shapeId="0">
      <text>
        <r>
          <rPr>
            <b/>
            <sz val="9"/>
            <color indexed="81"/>
            <rFont val="Tahoma"/>
            <family val="2"/>
          </rPr>
          <t>dber:</t>
        </r>
        <r>
          <rPr>
            <sz val="9"/>
            <color indexed="81"/>
            <rFont val="Tahoma"/>
            <family val="2"/>
          </rPr>
          <t xml:space="preserve">
determine la première limite de descente (cf en 280)
</t>
        </r>
      </text>
    </comment>
  </commentList>
</comments>
</file>

<file path=xl/comments3.xml><?xml version="1.0" encoding="utf-8"?>
<comments xmlns="http://schemas.openxmlformats.org/spreadsheetml/2006/main">
  <authors>
    <author>dber</author>
  </authors>
  <commentList>
    <comment ref="B5" authorId="0" shapeId="0">
      <text>
        <r>
          <rPr>
            <b/>
            <sz val="9"/>
            <color indexed="81"/>
            <rFont val="Tahoma"/>
            <family val="2"/>
          </rPr>
          <t>dber:</t>
        </r>
        <r>
          <rPr>
            <sz val="9"/>
            <color indexed="81"/>
            <rFont val="Tahoma"/>
            <family val="2"/>
          </rPr>
          <t xml:space="preserve">
distance axe extremité-axe central,</t>
        </r>
      </text>
    </comment>
    <comment ref="C5" authorId="0" shapeId="0">
      <text>
        <r>
          <rPr>
            <b/>
            <sz val="9"/>
            <color indexed="81"/>
            <rFont val="Tahoma"/>
            <family val="2"/>
          </rPr>
          <t>dber:</t>
        </r>
        <r>
          <rPr>
            <sz val="9"/>
            <color indexed="81"/>
            <rFont val="Tahoma"/>
            <family val="2"/>
          </rPr>
          <t xml:space="preserve">
distance axe fixe point d'aplication de la charge</t>
        </r>
      </text>
    </comment>
    <comment ref="D5" authorId="0" shapeId="0">
      <text>
        <r>
          <rPr>
            <b/>
            <sz val="9"/>
            <color indexed="81"/>
            <rFont val="Tahoma"/>
            <family val="2"/>
          </rPr>
          <t>dber:</t>
        </r>
        <r>
          <rPr>
            <sz val="9"/>
            <color indexed="81"/>
            <rFont val="Tahoma"/>
            <family val="2"/>
          </rPr>
          <t xml:space="preserve">
distance cdg plateforme/ axe fixe
</t>
        </r>
      </text>
    </comment>
    <comment ref="B11" authorId="0" shapeId="0">
      <text>
        <r>
          <rPr>
            <b/>
            <sz val="9"/>
            <color indexed="81"/>
            <rFont val="Tahoma"/>
            <family val="2"/>
          </rPr>
          <t>dber:</t>
        </r>
        <r>
          <rPr>
            <sz val="9"/>
            <color indexed="81"/>
            <rFont val="Tahoma"/>
            <family val="2"/>
          </rPr>
          <t xml:space="preserve">
hauteur ciseau
</t>
        </r>
      </text>
    </comment>
    <comment ref="T18" authorId="0" shapeId="0">
      <text>
        <r>
          <rPr>
            <b/>
            <sz val="9"/>
            <color indexed="81"/>
            <rFont val="Tahoma"/>
            <family val="2"/>
          </rPr>
          <t>dber:</t>
        </r>
        <r>
          <rPr>
            <sz val="9"/>
            <color indexed="81"/>
            <rFont val="Tahoma"/>
            <family val="2"/>
          </rPr>
          <t xml:space="preserve">
Ax²+P²=Ay²
Ax=racine (Ay²-P²)
Xi=AI*cos Ta
cos Ta=Ax/Ay
Ay=6AI
xi=Ax/6
</t>
        </r>
      </text>
    </comment>
    <comment ref="U18" authorId="0" shapeId="0">
      <text>
        <r>
          <rPr>
            <b/>
            <sz val="9"/>
            <color indexed="81"/>
            <rFont val="Tahoma"/>
            <family val="2"/>
          </rPr>
          <t>dber:</t>
        </r>
        <r>
          <rPr>
            <sz val="9"/>
            <color indexed="81"/>
            <rFont val="Tahoma"/>
            <family val="2"/>
          </rPr>
          <t xml:space="preserve">
sin Ta=P/6AI
Yi=AI sin Ta
Yi= P/6
</t>
        </r>
      </text>
    </comment>
    <comment ref="B19" authorId="0" shapeId="0">
      <text>
        <r>
          <rPr>
            <b/>
            <sz val="9"/>
            <color indexed="81"/>
            <rFont val="Tahoma"/>
            <family val="2"/>
          </rPr>
          <t>dber:</t>
        </r>
        <r>
          <rPr>
            <sz val="9"/>
            <color indexed="81"/>
            <rFont val="Tahoma"/>
            <family val="2"/>
          </rPr>
          <t xml:space="preserve">
formule pour repartir les 
33 lignes de position</t>
        </r>
      </text>
    </comment>
  </commentList>
</comments>
</file>

<file path=xl/sharedStrings.xml><?xml version="1.0" encoding="utf-8"?>
<sst xmlns="http://schemas.openxmlformats.org/spreadsheetml/2006/main" count="511" uniqueCount="329">
  <si>
    <t>mm</t>
  </si>
  <si>
    <t>X</t>
  </si>
  <si>
    <t>Y</t>
  </si>
  <si>
    <t>°</t>
  </si>
  <si>
    <t>Angle ouverture ciseaux</t>
  </si>
  <si>
    <t>Longueur vérin levage</t>
  </si>
  <si>
    <t>Coordonnées axes ciseaux</t>
  </si>
  <si>
    <t>Coordonnées point K</t>
  </si>
  <si>
    <t>Coordonnées point J</t>
  </si>
  <si>
    <t>Coordonnées point I</t>
  </si>
  <si>
    <t>Coordonnées point H</t>
  </si>
  <si>
    <t>Coordonnées point F</t>
  </si>
  <si>
    <t>Coordonnées point E</t>
  </si>
  <si>
    <t>Coordonnées point D</t>
  </si>
  <si>
    <t>Coordonnées point C</t>
  </si>
  <si>
    <t>Coordonnées point B</t>
  </si>
  <si>
    <t>Coordonnées point A</t>
  </si>
  <si>
    <t>Coordonnées axes vérins</t>
  </si>
  <si>
    <t>Coordonnées point Vrb</t>
  </si>
  <si>
    <t>Coordonnées point Vrh</t>
  </si>
  <si>
    <t>Coordonnées point G</t>
  </si>
  <si>
    <t xml:space="preserve">Hauteur plancher </t>
  </si>
  <si>
    <t>Angle d'inclinaison des bras/horizontale</t>
  </si>
  <si>
    <t>Position reprise vérin levage</t>
  </si>
  <si>
    <t>Distance reprise ciseaux (A) / sol</t>
  </si>
  <si>
    <t>Distance articulations extremités ciseaux</t>
  </si>
  <si>
    <t>Hp-Hr</t>
  </si>
  <si>
    <t>Hpr-Hpa</t>
  </si>
  <si>
    <t>(0;0)</t>
  </si>
  <si>
    <t>(0,5*L*cosθ;0,5*L*sinθ)</t>
  </si>
  <si>
    <t>(L*cosθ;L*sinθ)</t>
  </si>
  <si>
    <t>(L*cos θ ; 0)</t>
  </si>
  <si>
    <t>(0 ; L*sinθ)</t>
  </si>
  <si>
    <t>Hc</t>
  </si>
  <si>
    <t>Distance plancher / reprise A</t>
  </si>
  <si>
    <t>Hauteur ensemble ciseaux</t>
  </si>
  <si>
    <t>Distance plancher / reprise plateforme</t>
  </si>
  <si>
    <t>β =</t>
  </si>
  <si>
    <t>Hpa =</t>
  </si>
  <si>
    <t>Hc =</t>
  </si>
  <si>
    <t>Hr =</t>
  </si>
  <si>
    <t>L =</t>
  </si>
  <si>
    <t>Hpr =</t>
  </si>
  <si>
    <t>θ =</t>
  </si>
  <si>
    <t>Y'v =</t>
  </si>
  <si>
    <t>X'v =</t>
  </si>
  <si>
    <t>Lv =</t>
  </si>
  <si>
    <t>Dbp =</t>
  </si>
  <si>
    <t>H =</t>
  </si>
  <si>
    <r>
      <t>sin</t>
    </r>
    <r>
      <rPr>
        <vertAlign val="superscript"/>
        <sz val="10"/>
        <color theme="1"/>
        <rFont val="Times New Roman"/>
        <family val="1"/>
      </rPr>
      <t>-1</t>
    </r>
    <r>
      <rPr>
        <sz val="10"/>
        <color theme="1"/>
        <rFont val="Times New Roman"/>
        <family val="1"/>
      </rPr>
      <t>(Hc/3*L)</t>
    </r>
  </si>
  <si>
    <r>
      <t>√((X</t>
    </r>
    <r>
      <rPr>
        <vertAlign val="subscript"/>
        <sz val="10"/>
        <color theme="1"/>
        <rFont val="Times New Roman"/>
        <family val="1"/>
      </rPr>
      <t>(vrb)</t>
    </r>
    <r>
      <rPr>
        <sz val="10"/>
        <color theme="1"/>
        <rFont val="Times New Roman"/>
        <family val="1"/>
      </rPr>
      <t>-X</t>
    </r>
    <r>
      <rPr>
        <vertAlign val="subscript"/>
        <sz val="10"/>
        <color theme="1"/>
        <rFont val="Times New Roman"/>
        <family val="1"/>
      </rPr>
      <t>(vrh)</t>
    </r>
    <r>
      <rPr>
        <sz val="10"/>
        <color theme="1"/>
        <rFont val="Times New Roman"/>
        <family val="1"/>
      </rPr>
      <t>)^2+(Y</t>
    </r>
    <r>
      <rPr>
        <vertAlign val="subscript"/>
        <sz val="10"/>
        <color theme="1"/>
        <rFont val="Times New Roman"/>
        <family val="1"/>
      </rPr>
      <t>(vrh)</t>
    </r>
    <r>
      <rPr>
        <sz val="10"/>
        <color theme="1"/>
        <rFont val="Times New Roman"/>
        <family val="1"/>
      </rPr>
      <t>-Y</t>
    </r>
    <r>
      <rPr>
        <vertAlign val="subscript"/>
        <sz val="10"/>
        <color theme="1"/>
        <rFont val="Times New Roman"/>
        <family val="1"/>
      </rPr>
      <t>(vrb)</t>
    </r>
    <r>
      <rPr>
        <sz val="10"/>
        <color theme="1"/>
        <rFont val="Times New Roman"/>
        <family val="1"/>
      </rPr>
      <t>)^2)</t>
    </r>
  </si>
  <si>
    <r>
      <t>(L-X'v)*cos</t>
    </r>
    <r>
      <rPr>
        <sz val="10"/>
        <color theme="1"/>
        <rFont val="Calibri"/>
        <family val="2"/>
      </rPr>
      <t>θ</t>
    </r>
    <r>
      <rPr>
        <sz val="10"/>
        <color theme="1"/>
        <rFont val="Times New Roman"/>
        <family val="1"/>
      </rPr>
      <t xml:space="preserve"> +Y'v*sin</t>
    </r>
    <r>
      <rPr>
        <sz val="10"/>
        <color theme="1"/>
        <rFont val="Calibri"/>
        <family val="2"/>
      </rPr>
      <t>θ ;</t>
    </r>
    <r>
      <rPr>
        <sz val="10"/>
        <color theme="1"/>
        <rFont val="Times New Roman"/>
        <family val="1"/>
      </rPr>
      <t xml:space="preserve"> Y</t>
    </r>
    <r>
      <rPr>
        <vertAlign val="subscript"/>
        <sz val="10"/>
        <color theme="1"/>
        <rFont val="Times New Roman"/>
        <family val="1"/>
      </rPr>
      <t>B</t>
    </r>
    <r>
      <rPr>
        <sz val="10"/>
        <color theme="1"/>
        <rFont val="Times New Roman"/>
        <family val="1"/>
      </rPr>
      <t xml:space="preserve"> -(X'v*sin</t>
    </r>
    <r>
      <rPr>
        <sz val="10"/>
        <color theme="1"/>
        <rFont val="Calibri"/>
        <family val="2"/>
      </rPr>
      <t>θ+Y'v*cosθ)</t>
    </r>
  </si>
  <si>
    <r>
      <t xml:space="preserve">X'v*cos </t>
    </r>
    <r>
      <rPr>
        <sz val="10"/>
        <color theme="1"/>
        <rFont val="Calibri"/>
        <family val="2"/>
      </rPr>
      <t>θ</t>
    </r>
    <r>
      <rPr>
        <sz val="10"/>
        <color theme="1"/>
        <rFont val="Times New Roman"/>
        <family val="1"/>
      </rPr>
      <t xml:space="preserve">-Y'v*sin </t>
    </r>
    <r>
      <rPr>
        <sz val="10"/>
        <color theme="1"/>
        <rFont val="Calibri"/>
        <family val="2"/>
      </rPr>
      <t>θ;</t>
    </r>
    <r>
      <rPr>
        <sz val="10"/>
        <color theme="1"/>
        <rFont val="Times New Roman"/>
        <family val="1"/>
      </rPr>
      <t xml:space="preserve"> Y</t>
    </r>
    <r>
      <rPr>
        <vertAlign val="subscript"/>
        <sz val="10"/>
        <color theme="1"/>
        <rFont val="Times New Roman"/>
        <family val="1"/>
      </rPr>
      <t>F</t>
    </r>
    <r>
      <rPr>
        <sz val="10"/>
        <color theme="1"/>
        <rFont val="Times New Roman"/>
        <family val="1"/>
      </rPr>
      <t>+X'v*sin</t>
    </r>
    <r>
      <rPr>
        <sz val="10"/>
        <color theme="1"/>
        <rFont val="Calibri"/>
        <family val="2"/>
      </rPr>
      <t>θ</t>
    </r>
    <r>
      <rPr>
        <sz val="10"/>
        <color theme="1"/>
        <rFont val="Times New Roman"/>
        <family val="1"/>
      </rPr>
      <t>+Y'v*cos</t>
    </r>
    <r>
      <rPr>
        <sz val="10"/>
        <color theme="1"/>
        <rFont val="Calibri"/>
        <family val="2"/>
      </rPr>
      <t>θ</t>
    </r>
  </si>
  <si>
    <t>Angle d'inclinaison du vérin</t>
  </si>
  <si>
    <t>CINEMATIQUE ELEVATEUR</t>
  </si>
  <si>
    <t>Hauteur de travail</t>
  </si>
  <si>
    <t>Ht =</t>
  </si>
  <si>
    <r>
      <rPr>
        <sz val="10"/>
        <color theme="1"/>
        <rFont val="Calibri"/>
        <family val="2"/>
      </rPr>
      <t>θ*</t>
    </r>
    <r>
      <rPr>
        <sz val="10"/>
        <color theme="1"/>
        <rFont val="Times New Roman"/>
        <family val="1"/>
      </rPr>
      <t>2</t>
    </r>
  </si>
  <si>
    <t>Distance verticale bras paralléles</t>
  </si>
  <si>
    <r>
      <t>cos</t>
    </r>
    <r>
      <rPr>
        <vertAlign val="superscript"/>
        <sz val="10"/>
        <color theme="1"/>
        <rFont val="Times New Roman"/>
        <family val="1"/>
      </rPr>
      <t>-1</t>
    </r>
    <r>
      <rPr>
        <sz val="10"/>
        <color theme="1"/>
        <rFont val="Times New Roman"/>
        <family val="1"/>
      </rPr>
      <t>((X</t>
    </r>
    <r>
      <rPr>
        <vertAlign val="subscript"/>
        <sz val="10"/>
        <color theme="1"/>
        <rFont val="Times New Roman"/>
        <family val="1"/>
      </rPr>
      <t>(vrb)</t>
    </r>
    <r>
      <rPr>
        <sz val="10"/>
        <color theme="1"/>
        <rFont val="Times New Roman"/>
        <family val="1"/>
      </rPr>
      <t>-X</t>
    </r>
    <r>
      <rPr>
        <vertAlign val="subscript"/>
        <sz val="10"/>
        <color theme="1"/>
        <rFont val="Times New Roman"/>
        <family val="1"/>
      </rPr>
      <t>(vrh)</t>
    </r>
    <r>
      <rPr>
        <sz val="10"/>
        <color theme="1"/>
        <rFont val="Times New Roman"/>
        <family val="1"/>
      </rPr>
      <t>/Lv))</t>
    </r>
  </si>
  <si>
    <t>(L*sinθ)-(Hb/cosθ)</t>
  </si>
  <si>
    <t>Vérification position vérin (Vrb/B):</t>
  </si>
  <si>
    <t>Xi</t>
  </si>
  <si>
    <t>Yi</t>
  </si>
  <si>
    <r>
      <t xml:space="preserve">Coordonnées de </t>
    </r>
    <r>
      <rPr>
        <b/>
        <sz val="10"/>
        <color indexed="10"/>
        <rFont val="Arial"/>
        <family val="2"/>
      </rPr>
      <t xml:space="preserve">G1 </t>
    </r>
    <r>
      <rPr>
        <sz val="10"/>
        <color indexed="48"/>
        <rFont val="Arial"/>
        <family val="2"/>
      </rPr>
      <t>dans xAy</t>
    </r>
  </si>
  <si>
    <r>
      <t xml:space="preserve">Coordonnées de </t>
    </r>
    <r>
      <rPr>
        <b/>
        <sz val="10"/>
        <color indexed="10"/>
        <rFont val="Arial"/>
        <family val="2"/>
      </rPr>
      <t>G3</t>
    </r>
    <r>
      <rPr>
        <sz val="10"/>
        <color indexed="48"/>
        <rFont val="Arial"/>
        <family val="2"/>
      </rPr>
      <t xml:space="preserve"> dans xAy</t>
    </r>
  </si>
  <si>
    <r>
      <t xml:space="preserve">Coordonnées </t>
    </r>
    <r>
      <rPr>
        <sz val="10"/>
        <color indexed="48"/>
        <rFont val="Arial"/>
        <family val="2"/>
      </rPr>
      <t xml:space="preserve">de </t>
    </r>
    <r>
      <rPr>
        <b/>
        <sz val="10"/>
        <color indexed="10"/>
        <rFont val="Arial"/>
        <family val="2"/>
      </rPr>
      <t>G2</t>
    </r>
    <r>
      <rPr>
        <sz val="10"/>
        <color indexed="48"/>
        <rFont val="Arial"/>
        <family val="2"/>
      </rPr>
      <t xml:space="preserve"> </t>
    </r>
    <r>
      <rPr>
        <sz val="10"/>
        <color indexed="48"/>
        <rFont val="Arial"/>
        <family val="2"/>
      </rPr>
      <t>dans xAy</t>
    </r>
  </si>
  <si>
    <t>β (°)</t>
  </si>
  <si>
    <t>α (°)</t>
  </si>
  <si>
    <t>β (rad)</t>
  </si>
  <si>
    <r>
      <t>α</t>
    </r>
    <r>
      <rPr>
        <sz val="11"/>
        <color theme="1"/>
        <rFont val="Calibri"/>
        <family val="2"/>
        <scheme val="minor"/>
      </rPr>
      <t xml:space="preserve"> (rad)</t>
    </r>
  </si>
  <si>
    <t>Rya (N)</t>
  </si>
  <si>
    <t>Rxa (N)</t>
  </si>
  <si>
    <t>Fyd (N)</t>
  </si>
  <si>
    <t>Fxd (N)</t>
  </si>
  <si>
    <t>Fyv (N)</t>
  </si>
  <si>
    <t>Fxv (N)</t>
  </si>
  <si>
    <t>Ryc (N)</t>
  </si>
  <si>
    <t>Fyt (N)</t>
  </si>
  <si>
    <t>Fxt (N)</t>
  </si>
  <si>
    <t>Rys (N)</t>
  </si>
  <si>
    <t>Rxs (N)</t>
  </si>
  <si>
    <t>Ryr (N)</t>
  </si>
  <si>
    <t>Rxr (N)</t>
  </si>
  <si>
    <t>Fye (N)</t>
  </si>
  <si>
    <t>Fxe (N)</t>
  </si>
  <si>
    <t>Fyb (N)</t>
  </si>
  <si>
    <t>Fxb (N)</t>
  </si>
  <si>
    <t>Xg4(mm)</t>
  </si>
  <si>
    <t>Xg3 (mm)</t>
  </si>
  <si>
    <t>Xg2 (mm)</t>
  </si>
  <si>
    <t>Xg1 (mm)</t>
  </si>
  <si>
    <t>Yt (mm)</t>
  </si>
  <si>
    <t>Xt (mm)</t>
  </si>
  <si>
    <t>Ys (mm)</t>
  </si>
  <si>
    <t>Xs (mm)</t>
  </si>
  <si>
    <t>Yr (mm)</t>
  </si>
  <si>
    <t>Xr (mm)</t>
  </si>
  <si>
    <t>Yh (mm)</t>
  </si>
  <si>
    <t>Xh (mm)</t>
  </si>
  <si>
    <t>Ye (mm)</t>
  </si>
  <si>
    <t>Xe (mm)</t>
  </si>
  <si>
    <t>Yd (mm)</t>
  </si>
  <si>
    <t>Xd (mm)</t>
  </si>
  <si>
    <t>Yc (mm)</t>
  </si>
  <si>
    <t>Xc (mm)</t>
  </si>
  <si>
    <t>Yb (mm)</t>
  </si>
  <si>
    <t>Xb (mm)</t>
  </si>
  <si>
    <t>Fv (N)</t>
  </si>
  <si>
    <t>JH (mm)</t>
  </si>
  <si>
    <t>P (mm)</t>
  </si>
  <si>
    <t>Angle vérin</t>
  </si>
  <si>
    <t>Angle de AB</t>
  </si>
  <si>
    <t>Compos. réaction en A</t>
  </si>
  <si>
    <t>Compos. F en D sur AB</t>
  </si>
  <si>
    <t>Composantes F vérin</t>
  </si>
  <si>
    <t>Rc</t>
  </si>
  <si>
    <t>Ft</t>
  </si>
  <si>
    <t>Rs</t>
  </si>
  <si>
    <t>Rr</t>
  </si>
  <si>
    <t>Charge + Table</t>
  </si>
  <si>
    <t>Pos. en X des CdG bras</t>
  </si>
  <si>
    <t>Coord. point T</t>
  </si>
  <si>
    <t>Coord. point S</t>
  </si>
  <si>
    <t>Coord. point R</t>
  </si>
  <si>
    <t>Coord. point H</t>
  </si>
  <si>
    <t>Coord. point E</t>
  </si>
  <si>
    <t>Coord. point D</t>
  </si>
  <si>
    <t>Coord. point C</t>
  </si>
  <si>
    <t>Coord. point B</t>
  </si>
  <si>
    <t>Effort  vérin</t>
  </si>
  <si>
    <t>Long. vérin</t>
  </si>
  <si>
    <t>Pos. table</t>
  </si>
  <si>
    <t>- - - - - - - - - - - - - - - - - - - - - - - - - - - - - - - - - - - - - - - - - -- - - - - - - - - - - - - - - - - - - - - - - - - - - - - - - - - - - - - - - - - - - - - - - - Mettre une valeur particulière de P dans la cellule jaune, à gauche dans la première colonne et lire les résultats du calcul sur la même ligne  - - - - - - - - - - - - - - - - - - - - - - - - - - - -- - - - - - - - - - - - - - - - - - - - - - - - - - - - - - - - - - - - - - - - - - - - - - - - - - - - - - - - - - - - - -</t>
  </si>
  <si>
    <r>
      <t xml:space="preserve">Coordonnées de </t>
    </r>
    <r>
      <rPr>
        <b/>
        <sz val="10"/>
        <color indexed="10"/>
        <rFont val="Arial"/>
        <family val="2"/>
      </rPr>
      <t>H,</t>
    </r>
    <r>
      <rPr>
        <sz val="10"/>
        <color indexed="48"/>
        <rFont val="Arial"/>
        <family val="2"/>
      </rPr>
      <t xml:space="preserve"> et de </t>
    </r>
    <r>
      <rPr>
        <b/>
        <sz val="10"/>
        <color indexed="10"/>
        <rFont val="Arial"/>
        <family val="2"/>
      </rPr>
      <t>G4</t>
    </r>
    <r>
      <rPr>
        <sz val="10"/>
        <color indexed="48"/>
        <rFont val="Arial"/>
        <family val="2"/>
      </rPr>
      <t xml:space="preserve"> </t>
    </r>
    <r>
      <rPr>
        <sz val="10"/>
        <color indexed="48"/>
        <rFont val="Arial"/>
        <family val="2"/>
      </rPr>
      <t>dans xAy</t>
    </r>
  </si>
  <si>
    <t>Mettre une valeur particulière de P dans
la cellule jaune, ci-dessous, puis lire les
résultats sur la même ligne
(suite à droite → )</t>
  </si>
  <si>
    <t>Les actions des poids propres des parties fixes et coulissantes du vérin ne sont pas prises en compte</t>
  </si>
  <si>
    <t>Le point C étant glissant, la réaction au sol Rc aura seulement une composante verticale Ryc</t>
  </si>
  <si>
    <t>Ra</t>
  </si>
  <si>
    <t>Fd (action mutuelle en D)</t>
  </si>
  <si>
    <t>Fv (vérin)</t>
  </si>
  <si>
    <t>Ft (action mutuelle en T)</t>
  </si>
  <si>
    <t>Si la charge ne se déplace pas par rapport au point E et que le point B est glissant ; la charge se répartit donc selon Fye et Fyb et les composantes horizontales Fxe et Fxb sont nulles (mais prises en compte dans les calculs pour une éventuelle autre application avec un ciseau supplémentaire par ex.). Les colonnes Fxe et Fxb sont donc conservées et des formules y font référence, mais ici elles restent vides (=0)</t>
  </si>
  <si>
    <r>
      <t>Angles</t>
    </r>
    <r>
      <rPr>
        <sz val="10"/>
        <rFont val="Arial"/>
        <family val="2"/>
      </rPr>
      <t xml:space="preserve"> ( pour information )</t>
    </r>
  </si>
  <si>
    <t>Composantes des forces</t>
  </si>
  <si>
    <t>Positions des points</t>
  </si>
  <si>
    <t>Fyd = -(Rxs*Xj*Yd*Ys-Rxs*Xh*Yd*Ys+Rxr*Xh*Yj*Yr-Rxr*Xc*Yj*Yr-Rxr*Xj*Yh*Yr+Rxr*Xc*Yh*Yr+Rxr*Xj*Yd*Yr-Rxr*Xh*Yd*Yr+Rxs*Xh*Yd*Yj-Rxs*Xc*Yd*Yj-Ryr*Xh*Xr*Yj+Ryr*Xc*Xr*Yj+Pb3*Xg3*Xh*Yj-Pb3*Xc*Xg3*Yj-Rxs*Xj*Yd*Yh+Rxs*Xc*Yd*Yh+Ryr*Xj*Xr*Yh-Ryr*Xc*Xr*Yh-Pb3*Xg3*Xj*Yh+Pb3*Xc*Xg3*Yh-Rys*Xj*Xs*Yd+Rys*Xh*Xs*Yd-Ryr*Xj*Xr*Yd+Ryr*Xh*Xr*Yd+Pb4*Xg4*Xj*Yd+Pb3*Xg3*Xj*Yd+Rys*Xc*Xj*Yd-Pb4*Xc*Xj*Yd-Pb4*Xg4*Xh*Yd-Pb3*Xg3*Xh*Yd-Rys*Xc*Xh*Yd+Pb4*Xc*Xh*Yd)/(Xd*Xh*Yj-Xc*Xd*Yj-Xd*Xj*Yh+Xc*Xd*Yh+Xc*Xj*Yd-Xc*Xh*Yd)</t>
  </si>
  <si>
    <t>e (mm)</t>
  </si>
  <si>
    <t>d (mm)</t>
  </si>
  <si>
    <t>g (mm)</t>
  </si>
  <si>
    <t>f (mm)</t>
  </si>
  <si>
    <t>i (mm)</t>
  </si>
  <si>
    <t>h (mm)</t>
  </si>
  <si>
    <t>k (mm)</t>
  </si>
  <si>
    <t>j (mm)</t>
  </si>
  <si>
    <t>Fxd = -(Rxs*Xd*Xj*Ys-Rxs*Xd*Xh*Ys+Rxr*Xd*Xj*Yr-Rxr*Xc*Xj*Yr-Rxr*Xd*Xh*Yr+Rxr*Xc*Xh*Yr+Rxs*Xd*Xh*Yj-Rxs*Xc*Xd*Yj-Rxs*Xd*Xj*Yh+Rxs*Xc*Xd*Yh-Rys*Xd*Xj*Xs+Rys*Xd*Xh*Xs-Ryr*Xd*Xj*Xr+Ryr*Xc*Xj*Xr+Ryr*Xd*Xh*Xr-Ryr*Xc*Xh*Xr+Pb4*Xd*Xg4*Xj+Pb3*Xd*Xg3*Xj-Pb3*Xc*Xg3*Xj+Rys*Xc*Xd*Xj-Pb4*Xc*Xd*Xj-Pb4*Xd*Xg4*Xh-Pb3*Xd*Xg3*Xh+Pb3*Xc*Xg3*Xh-Rys*Xc*Xd*Xh+Pb4*Xc*Xd*Xh)/(Xd*Xh*Yj-Xc*Xd*Yj-Xd*Xj*Yh+Xc*Xd*Yh+Xc*Xj*Yd-Xc*Xh*Yd)</t>
  </si>
  <si>
    <r>
      <t xml:space="preserve">G4 dans repère vSw </t>
    </r>
    <r>
      <rPr>
        <b/>
        <sz val="10"/>
        <color indexed="10"/>
        <rFont val="Arial"/>
        <family val="2"/>
      </rPr>
      <t>*</t>
    </r>
  </si>
  <si>
    <r>
      <t xml:space="preserve">G3 dans repère tAu </t>
    </r>
    <r>
      <rPr>
        <b/>
        <sz val="10"/>
        <color indexed="10"/>
        <rFont val="Arial"/>
        <family val="2"/>
      </rPr>
      <t>**</t>
    </r>
  </si>
  <si>
    <r>
      <t xml:space="preserve">G2 dans repère rEs </t>
    </r>
    <r>
      <rPr>
        <b/>
        <sz val="10"/>
        <color indexed="48"/>
        <rFont val="Arial"/>
        <family val="2"/>
      </rPr>
      <t>*</t>
    </r>
  </si>
  <si>
    <r>
      <t xml:space="preserve">G1 dans repère pSq </t>
    </r>
    <r>
      <rPr>
        <b/>
        <sz val="10"/>
        <color indexed="48"/>
        <rFont val="Arial"/>
        <family val="2"/>
      </rPr>
      <t>**</t>
    </r>
  </si>
  <si>
    <t>Rya = (Rxs*Xj*Yd*Ys-Rxs*Xh*Yd*Ys+Rxr*Xh*Yj*Yr-Rxr*Xc*Yj*Yr-Rxr*Xj*Yh*Yr+Rxr*Xc*Yh*Yr+Rxr*Xj*Yd*Yr-Rxr*Xh*Yd*Yr+Rxs*Xh*Yd*Yj-Rxs*Xc*Yd*Yj-Ryr*Xh*Xr*Yj+Ryr*Xc*Xr*Yj+Pb3*Xg3*Xh*Yj+Ryr*Xd*Xh*Yj-Pb3*Xd*Xh*Yj-Pb3*Xc*Xg3*Yj-Ryr*Xc*Xd*Yj+Pb3*Xc*Xd*Yj-Rxs*Xj*Yd*Yh+Rxs*Xc*Yd*Yh+Ryr*Xj*Xr*Yh-Ryr*Xc*Xr*Yh-Pb3*Xg3*Xj*Yh-Ryr*Xd*Xj*Yh+Pb3*Xd*Xj*Yh+Pb3*Xc*Xg3*Yh+Ryr*Xc*Xd*Yh-Pb3*Xc*Xd*Yh-Rys*Xj*Xs*Yd+Rys*Xh*Xs*Yd-Ryr*Xj*Xr*Yd+Ryr*Xh*Xr*Yd+Pb4*Xg4*Xj*Yd+Pb3*Xg3*Xj*Yd+Rys*Xc*Xj*Yd+Ryr*Xc*Xj*Yd-Pb4*Xc*Xj*Yd-Pb3*Xc*Xj*Yd-Pb4*Xg4*Xh*Yd-Pb3*Xg3*Xh*Yd-Rys*Xc*Xh*Yd-Ryr*Xc*Xh*Yd+Pb4*Xc*Xh*Yd+Pb3*Xc*Xh*Yd)/(Xd*Xh*Yj-Xc*Xd*Yj-Xd*Xj*Yh+Xc*Xd*Yh+Xc*Xj*Yd-Xc*Xh*Yd)</t>
  </si>
  <si>
    <t>Rxa = (Rxs*Xd*Xj*Ys-Rxs*Xd*Xh*Ys+Rxr*Xd*Xj*Yr-Rxr*Xc*Xj*Yr-Rxr*Xd*Xh*Yr+Rxr*Xc*Xh*Yr+Rxs*Xd*Xh*Yj+Rxr*Xd*Xh*Yj-Rxs*Xc*Xd*Yj-Rxr*Xc*Xd*Yj-Rxs*Xd*Xj*Yh-Rxr*Xd*Xj*Yh+Rxs*Xc*Xd*Yh+Rxr*Xc*Xd*Yh+Rxr*Xc*Xj*Yd-Rxr*Xc*Xh*Yd-Rys*Xd*Xj*Xs+Rys*Xd*Xh*Xs-Ryr*Xd*Xj*Xr+Ryr*Xc*Xj*Xr+Ryr*Xd*Xh*Xr-Ryr*Xc*Xh*Xr+Pb4*Xd*Xg4*Xj+Pb3*Xd*Xg3*Xj-Pb3*Xc*Xg3*Xj+Rys*Xc*Xd*Xj-Pb4*Xc*Xd*Xj-Pb4*Xd*Xg4*Xh-Pb3*Xd*Xg3*Xh+Pb3*Xc*Xg3*Xh-Rys*Xc*Xd*Xh+Pb4*Xc*Xd*Xh)/(Xd*Xh*Yj-Xc*Xd*Yj-Xd*Xj*Yh+Xc*Xd*Yh+Xc*Xj*Yd-Xc*Xh*Yd)</t>
  </si>
  <si>
    <t>Ryc = (Rxs*Xd*Yj*Ys-Rxs*Xd*Yh*Ys-Rxs*Xj*Yd*Ys+Rxs*Xh*Yd*Ys-Rxr*Xh*Yj*Yr+Rxr*Xd*Yj*Yr+Rxr*Xj*Yh*Yr-Rxr*Xd*Yh*Yr-Rxr*Xj*Yd*Yr+Rxr*Xh*Yd*Yr-Rxs*Xh*Yd*Yj-Rys*Xd*Xs*Yj+Ryr*Xh*Xr*Yj-Ryr*Xd*Xr*Yj-Pb3*Xg3*Xh*Yj+Rys*Xd*Xh*Yj-Pb4*Xd*Xh*Yj+Pb4*Xd*Xg4*Yj+Pb3*Xd*Xg3*Yj+Rxs*Xj*Yd*Yh+Rys*Xd*Xs*Yh-Ryr*Xj*Xr*Yh+Ryr*Xd*Xr*Yh+Pb3*Xg3*Xj*Yh-Rys*Xd*Xj*Yh+Pb4*Xd*Xj*Yh-Pb4*Xd*Xg4*Yh-Pb3*Xd*Xg3*Yh+Rys*Xj*Xs*Yd-Rys*Xh*Xs*Yd+Ryr*Xj*Xr*Yd-Ryr*Xh*Xr*Yd-Pb4*Xg4*Xj*Yd-Pb3*Xg3*Xj*Yd+Pb4*Xg4*Xh*Yd+Pb3*Xg3*Xh*Yd)/(Xd*Xh*Yj-Xc*Xd*Yj-Xd*Xj*Yh+Xc*Xd*Yh+Xc*Xj*Yd-Xc*Xh*Yd)</t>
  </si>
  <si>
    <t>Yj (mm)</t>
  </si>
  <si>
    <t>Xj (mm)</t>
  </si>
  <si>
    <t>b (mm)</t>
  </si>
  <si>
    <t>a (mm)</t>
  </si>
  <si>
    <t>BrasPb4(N)</t>
  </si>
  <si>
    <t>Bras Pb3 (N)</t>
  </si>
  <si>
    <t>BrasPb2 (N)</t>
  </si>
  <si>
    <t>Bras Pb1 (N)</t>
  </si>
  <si>
    <t>Table Pt (N)</t>
  </si>
  <si>
    <t>Charge (N)</t>
  </si>
  <si>
    <t>Fyv = -((Yj-Yh)*(Rxs*Xd*Ys+Rxr*Xd*Yr-Rxr*Xc*Yr-Rxs*Xc*Yd-Rys*Xd*Xs-Ryr*Xd*Xr+Ryr*Xc*Xr+Pb4*Xd*Xg4+Pb3*Xd*Xg3-Pb3*Xc*Xg3+Rys*Xc*Xd-Pb4*Xc*Xd))/(Xd*Xh*Yj-Xc*Xd*Yj-Xd*Xj*Yh+Xc*Xd*Yh+Xc*Xj*Yd-Xc*Xh*Yd)</t>
  </si>
  <si>
    <t xml:space="preserve"> J dans repère xAy</t>
  </si>
  <si>
    <r>
      <t xml:space="preserve">H dans repère vSw </t>
    </r>
    <r>
      <rPr>
        <b/>
        <sz val="10"/>
        <color indexed="10"/>
        <rFont val="Arial"/>
        <family val="2"/>
      </rPr>
      <t>*</t>
    </r>
  </si>
  <si>
    <t>Poids dans repère xAy</t>
  </si>
  <si>
    <t>Fyt = (Fxb*Ys*Yt+Fxe*Yr*Yt-Fxe*Ye*Yt-Fxb*Yb*Yt-Pb1*Xs*Yt-Fyb*Xs*Yt-Pb2*Xr*Yt-Fye*Xr*Yt+Pb2*Xg2*Yt+Pb1*Xg1*Yt+Fye*Xe*Yt+Fyb*Xb*Yt-Fxe*Yr*Ys-Fxb*Yr*Ys+Fxe*Ye*Ys+Pb2*Xr*Ys+Fye*Xr*Ys-Pb2*Xg2*Ys-Fye*Xe*Ys+Fxb*Yb*Yr+Pb1*Xs*Yr+Fyb*Xs*Yr-Pb1*Xg1*Yr-Fyb*Xb*Yr)/(Xs*Yt-Xr*Yt-Xt*Ys+Xr*Ys+Xt*Yr-Xs*Yr)</t>
  </si>
  <si>
    <t>Fxt = (Fxb*Xt*Ys-Fxb*Xr*Ys+Fxe*Xt*Yr-Fxe*Xs*Yr-Fxe*Xt*Ye+Fxe*Xs*Ye-Fxb*Xt*Yb+Fxb*Xr*Yb-Pb1*Xs*Xt-Fyb*Xs*Xt-Pb2*Xr*Xt-Fye*Xr*Xt+Pb2*Xg2*Xt+Pb1*Xg1*Xt+Fye*Xe*Xt+Fyb*Xb*Xt+Pb2*Xr*Xs+Pb1*Xr*Xs+Fye*Xr*Xs+Fyb*Xr*Xs-Pb2*Xg2*Xs-Fye*Xe*Xs-Pb1*Xg1*Xr-Fyb*Xb*Xr)/(Xs*Yt-Xr*Yt-Xt*Ys+Xr*Ys+Xt*Yr-Xs*Yr)</t>
  </si>
  <si>
    <t>Rys = -(Fxb*Ys*Yt+Fxe*Yr*Yt-Fxe*Ye*Yt-Fxb*Yb*Yt-Pb2*Xr*Yt-Pb1*Xr*Yt-Fye*Xr*Yt-Fyb*Xr*Yt+Pb2*Xg2*Yt+Pb1*Xg1*Yt+Fye*Xe*Yt+Fyb*Xb*Yt-Fxe*Yr*Ys-Fxb*Yr*Ys+Fxe*Ye*Ys-Pb1*Xt*Ys-Fyb*Xt*Ys+Pb2*Xr*Ys+Pb1*Xr*Ys+Fye*Xr*Ys+Fyb*Xr*Ys-Pb2*Xg2*Ys-Fye*Xe*Ys+Fxb*Yb*Yr+Pb1*Xt*Yr+Fyb*Xt*Yr-Pb1*Xg1*Yr-Fyb*Xb*Yr)/(Xs*Yt-Xr*Yt-Xt*Ys+Xr*Ys+Xt*Yr-Xs*Yr)</t>
  </si>
  <si>
    <t>Maxi (mm)</t>
  </si>
  <si>
    <t>Mini (mm)</t>
  </si>
  <si>
    <t>EM (mm)</t>
  </si>
  <si>
    <t>EN (mm)</t>
  </si>
  <si>
    <t>TE (mm)</t>
  </si>
  <si>
    <t>DS (mm)</t>
  </si>
  <si>
    <t>AD (mm)</t>
  </si>
  <si>
    <t>Rxs = -(Fxb*Xs*Yt-Fxb*Xr*Yt+Fxe*Xt*Yr+Fxb*Xt*Yr-Fxe*Xs*Yr-Fxb*Xs*Yr-Fxe*Xt*Ye+Fxe*Xs*Ye-Fxb*Xt*Yb+Fxb*Xr*Yb-Pb1*Xs*Xt-Fyb*Xs*Xt-Pb2*Xr*Xt-Fye*Xr*Xt+Pb2*Xg2*Xt+Pb1*Xg1*Xt+Fye*Xe*Xt+Fyb*Xb*Xt+Pb2*Xr*Xs+Pb1*Xr*Xs+Fye*Xr*Xs+Fyb*Xr*Xs-Pb2*Xg2*Xs-Fye*Xe*Xs-Pb1*Xg1*Xr-Fyb*Xb*Xr)/(Xs*Yt-Xr*Yt-Xt*Ys+Xr*Ys+Xt*Yr-Xs*Yr)</t>
  </si>
  <si>
    <t>Position table (distance P)</t>
  </si>
  <si>
    <r>
      <t>Longueurs (</t>
    </r>
    <r>
      <rPr>
        <sz val="10"/>
        <color indexed="10"/>
        <rFont val="Arial"/>
        <family val="2"/>
      </rPr>
      <t>Nota : DC=AB,  ST=RT=RD=SD  et  TB=TE</t>
    </r>
    <r>
      <rPr>
        <sz val="11"/>
        <color theme="1"/>
        <rFont val="Calibri"/>
        <family val="2"/>
        <scheme val="minor"/>
      </rPr>
      <t>)</t>
    </r>
  </si>
  <si>
    <t>Ryr = (Fxb*Ys*Yt+Fxe*Yr*Yt-Fxe*Ye*Yt-Fxb*Yb*Yt-Pb2*Xs*Yt-Pb1*Xs*Yt-Fye*Xs*Yt-Fyb*Xs*Yt+Pb2*Xg2*Yt+Pb1*Xg1*Yt+Fye*Xe*Yt+Fyb*Xb*Yt-Fxe*Yr*Ys-Fxb*Yr*Ys+Fxe*Ye*Ys+Pb2*Xt*Ys+Fye*Xt*Ys-Pb2*Xg2*Ys-Fye*Xe*Ys+Fxb*Yb*Yr-Pb2*Xt*Yr-Fye*Xt*Yr+Pb2*Xs*Yr+Pb1*Xs*Yr+Fye*Xs*Yr+Fyb*Xs*Yr-Pb1*Xg1*Yr-Fyb*Xb*Yr)/(Xs*Yt-Xr*Yt-Xt*Ys+Xr*Ys+Xt*Yr-Xs*Yr)</t>
  </si>
  <si>
    <t>Rxr = -(Fxe*Xs*Yt-Fxe*Xr*Yt-Fxe*Xt*Ys-Fxb*Xt*Ys+Fxe*Xr*Ys+Fxb*Xr*Ys+Fxe*Xt*Ye-Fxe*Xs*Ye+Fxb*Xt*Yb-Fxb*Xr*Yb+Pb1*Xs*Xt+Fyb*Xs*Xt+Pb2*Xr*Xt+Fye*Xr*Xt-Pb2*Xg2*Xt-Pb1*Xg1*Xt-Fye*Xe*Xt-Fyb*Xb*Xt-Pb2*Xr*Xs-Pb1*Xr*Xs-Fye*Xr*Xs-Fyb*Xr*Xs+Pb2*Xg2*Xs+Fye*Xe*Xs+Pb1*Xg1*Xr+Fyb*Xb*Xr)/(Xs*Yt-Xr*Yt-Xt*Ys+Xr*Ys+Xt*Yr-Xs*Yr)</t>
  </si>
  <si>
    <t>Solutions données par MAXIMA (après factorisation) - Seules les deux premières, pour chaque étage, sont utilisées telles quelles ici ; les autres sont remplacées par des équations de départ utilisant ces deux solutions (calculs plus simples)</t>
  </si>
  <si>
    <r>
      <t xml:space="preserve">Entrez les valeurs </t>
    </r>
    <r>
      <rPr>
        <sz val="10"/>
        <color indexed="10"/>
        <rFont val="Arial"/>
        <family val="2"/>
      </rPr>
      <t>uniquement dans les cellules jaunes</t>
    </r>
    <r>
      <rPr>
        <sz val="10"/>
        <color indexed="48"/>
        <rFont val="Arial"/>
        <family val="2"/>
      </rPr>
      <t xml:space="preserve">. A noter que cette application ne vérifie pas les éventuelles impossibilités
de fonctionnement mécanique pouvant survenir selon les valeurs saisies. Pour les valeurs dans des repères : </t>
    </r>
    <r>
      <rPr>
        <sz val="10"/>
        <color indexed="10"/>
        <rFont val="Arial"/>
        <family val="2"/>
      </rPr>
      <t>attention au signe !</t>
    </r>
  </si>
  <si>
    <t xml:space="preserve"> EFFORTS CISEAU A 3 NIVEAUX</t>
  </si>
  <si>
    <t>Si la charge ne se déplace pas par rapport au point H et que le point G est glissant, on considère qu'elle se répartit  selon Fhy et Fgy et les composantes horizontales Fhx et Fgx sont nulles (mais prises en compte dans les calculs pour éventuelle ajouter un ciseau supplémentaire). Les colonnes Fhx et Fgx sont donc conservées et des formules y font référence, mais ici elles restent vides (=0).</t>
  </si>
  <si>
    <t>Le point C étant glissant, la réaction au sol Rc aura seulement une composante verticale Rcy</t>
  </si>
  <si>
    <t>Les actions des poids propres des parties fixes et coulissantes du vérin ne sont pas prises en compte.</t>
  </si>
  <si>
    <t>AI (mm)</t>
  </si>
  <si>
    <t>HN (mm)</t>
  </si>
  <si>
    <t>HM (mm)</t>
  </si>
  <si>
    <t>Charge (daN)</t>
  </si>
  <si>
    <t>Bras Pb1 (daN)</t>
  </si>
  <si>
    <t>BrasPb2 (daN)</t>
  </si>
  <si>
    <t>Bras Pb3 (daN)</t>
  </si>
  <si>
    <t>BrasPb4(daN)</t>
  </si>
  <si>
    <t>Bras Pb5 (daN)</t>
  </si>
  <si>
    <t>BrasPb6 (daN)</t>
  </si>
  <si>
    <t>Fv (daN)</t>
  </si>
  <si>
    <r>
      <t xml:space="preserve">POSITION DES REPRISES VERIN </t>
    </r>
    <r>
      <rPr>
        <sz val="10"/>
        <rFont val="Times New Roman"/>
        <family val="1"/>
      </rPr>
      <t>(repère particulier)</t>
    </r>
  </si>
  <si>
    <r>
      <t xml:space="preserve">CHARGES DUES AU POIDS </t>
    </r>
    <r>
      <rPr>
        <sz val="10"/>
        <rFont val="Times New Roman"/>
        <family val="1"/>
      </rPr>
      <t xml:space="preserve"> (rep xAy)</t>
    </r>
  </si>
  <si>
    <t>Poids  ensemble  plateforme</t>
  </si>
  <si>
    <t>Poids des bras</t>
  </si>
  <si>
    <t xml:space="preserve">LONGUEURS </t>
  </si>
  <si>
    <t>(Nota : AB=CD=DE=BF=FG=EH)</t>
  </si>
  <si>
    <t>Axe-Charge</t>
  </si>
  <si>
    <t>Axe-cdg</t>
  </si>
  <si>
    <t>Axes 1/2 bras</t>
  </si>
  <si>
    <t>Hauteur ciseau (distance Hc)</t>
  </si>
  <si>
    <t>Nacelle Pt (daN)</t>
  </si>
  <si>
    <t>Lv (mm)</t>
  </si>
  <si>
    <t>(Nota : G1=G2=K  ;  G3=G4=J  ;  G5=G6=I)</t>
  </si>
  <si>
    <r>
      <t xml:space="preserve">vrh dans repère lFm  </t>
    </r>
    <r>
      <rPr>
        <sz val="10"/>
        <color theme="4"/>
        <rFont val="Times New Roman"/>
        <family val="1"/>
      </rPr>
      <t>**</t>
    </r>
  </si>
  <si>
    <r>
      <t xml:space="preserve"> vrb dans repère tAu</t>
    </r>
    <r>
      <rPr>
        <sz val="10"/>
        <color theme="9"/>
        <rFont val="Times New Roman"/>
        <family val="1"/>
      </rPr>
      <t>**</t>
    </r>
  </si>
  <si>
    <t>- - - - - - - - - - - - - - - - - - - - -  - - - - - Mettre une valeur particulière de Hc dans la cellule jaune, à gauche dans la première colonne et lire les résultats du calcul sur la même ligne - - - - - - - - - - - - - - - - - - - - - - - - - - - - - - - - - - - - - - - - - -- - - - - - - - - - - - - - - - - - - - - - - - - - - - - - - - - - - - - - - - - - - - - - - - Mettre une valeur particulière de P dans la cellule jaune, à gauche dans la première colonne et lire les résultats du calcul sur la même ligne  - - - - - - - - - - - - - - - - - - - - - - - - - - - -- - - - - - - - - - - - - - - - - - - - - - - - - - - - - - - - - - - - - - - - - - - - - - - - - - - - - - - - - - - - - -</t>
  </si>
  <si>
    <t>Coord. point G</t>
  </si>
  <si>
    <t>Coord. point I</t>
  </si>
  <si>
    <t>Coord. point F</t>
  </si>
  <si>
    <t>Coord. point Vrb</t>
  </si>
  <si>
    <t>Coord. point J</t>
  </si>
  <si>
    <t>Pos. en X des CdG des Bras</t>
  </si>
  <si>
    <t>Coord. point Vrh</t>
  </si>
  <si>
    <r>
      <t xml:space="preserve">G5 dans repère tAu </t>
    </r>
    <r>
      <rPr>
        <b/>
        <sz val="10"/>
        <color rgb="FF7030A0"/>
        <rFont val="Times New Roman"/>
        <family val="1"/>
      </rPr>
      <t>**</t>
    </r>
  </si>
  <si>
    <r>
      <t xml:space="preserve">G6 dans repère vDw </t>
    </r>
    <r>
      <rPr>
        <b/>
        <sz val="10"/>
        <color rgb="FF7030A0"/>
        <rFont val="Times New Roman"/>
        <family val="1"/>
      </rPr>
      <t>*</t>
    </r>
  </si>
  <si>
    <t>Xi (mm)</t>
  </si>
  <si>
    <t>Yi (mm)</t>
  </si>
  <si>
    <t>Xf (mm)</t>
  </si>
  <si>
    <t>Yf (mm)</t>
  </si>
  <si>
    <t>Xvrh (mm)</t>
  </si>
  <si>
    <t>Yvrh (mm)</t>
  </si>
  <si>
    <t>Coord. point K</t>
  </si>
  <si>
    <t>Xg (mm)</t>
  </si>
  <si>
    <t>Yg (mm)</t>
  </si>
  <si>
    <t>Xk (mm)</t>
  </si>
  <si>
    <t>Yk (mm)</t>
  </si>
  <si>
    <t>Xvrb (mm)</t>
  </si>
  <si>
    <t>Yvrb (mm)</t>
  </si>
  <si>
    <t>POSITION DES AXES (mm)</t>
  </si>
  <si>
    <t>Yg</t>
  </si>
  <si>
    <t>Xg</t>
  </si>
  <si>
    <t xml:space="preserve">Yf </t>
  </si>
  <si>
    <t xml:space="preserve">Xf </t>
  </si>
  <si>
    <t>Ye</t>
  </si>
  <si>
    <t>Xe</t>
  </si>
  <si>
    <t>Yd</t>
  </si>
  <si>
    <t>Xd</t>
  </si>
  <si>
    <t>Yc</t>
  </si>
  <si>
    <t>Xc</t>
  </si>
  <si>
    <t>Yb</t>
  </si>
  <si>
    <t>Xb</t>
  </si>
  <si>
    <t>Xh</t>
  </si>
  <si>
    <t xml:space="preserve">Yh </t>
  </si>
  <si>
    <t xml:space="preserve">Xj </t>
  </si>
  <si>
    <t>Yj</t>
  </si>
  <si>
    <t>Xk</t>
  </si>
  <si>
    <t>Yk</t>
  </si>
  <si>
    <t>Xvrh</t>
  </si>
  <si>
    <t>Yvrh</t>
  </si>
  <si>
    <t>Xvrb</t>
  </si>
  <si>
    <t>Yvrb</t>
  </si>
  <si>
    <r>
      <t>α</t>
    </r>
    <r>
      <rPr>
        <sz val="11"/>
        <color rgb="FF7030A0"/>
        <rFont val="Times New Roman"/>
        <family val="1"/>
      </rPr>
      <t xml:space="preserve"> (rad)</t>
    </r>
  </si>
  <si>
    <r>
      <t>Angles</t>
    </r>
    <r>
      <rPr>
        <sz val="10"/>
        <color rgb="FF7030A0"/>
        <rFont val="Times New Roman"/>
        <family val="1"/>
      </rPr>
      <t xml:space="preserve"> ( pour information )</t>
    </r>
  </si>
  <si>
    <r>
      <t xml:space="preserve">G1 dans repère lFm </t>
    </r>
    <r>
      <rPr>
        <b/>
        <sz val="10"/>
        <color rgb="FF7030A0"/>
        <rFont val="Times New Roman"/>
        <family val="1"/>
      </rPr>
      <t>**</t>
    </r>
  </si>
  <si>
    <r>
      <t xml:space="preserve">G2 dans repère nGo </t>
    </r>
    <r>
      <rPr>
        <b/>
        <sz val="10"/>
        <color rgb="FF7030A0"/>
        <rFont val="Times New Roman"/>
        <family val="1"/>
      </rPr>
      <t>*</t>
    </r>
  </si>
  <si>
    <r>
      <t xml:space="preserve">G3 dans repère pDq </t>
    </r>
    <r>
      <rPr>
        <b/>
        <sz val="10"/>
        <color rgb="FF7030A0"/>
        <rFont val="Times New Roman"/>
        <family val="1"/>
      </rPr>
      <t>**</t>
    </r>
  </si>
  <si>
    <r>
      <t xml:space="preserve">G4 dans repère rFs </t>
    </r>
    <r>
      <rPr>
        <b/>
        <sz val="10"/>
        <color rgb="FF7030A0"/>
        <rFont val="Times New Roman"/>
        <family val="1"/>
      </rPr>
      <t>*</t>
    </r>
  </si>
  <si>
    <t>Charge + masse plateforme (daN)</t>
  </si>
  <si>
    <t>Rbx</t>
  </si>
  <si>
    <t>Rby</t>
  </si>
  <si>
    <t>Rb</t>
  </si>
  <si>
    <t>Rdx</t>
  </si>
  <si>
    <t>Rdy</t>
  </si>
  <si>
    <t>Rd</t>
  </si>
  <si>
    <t>Fix</t>
  </si>
  <si>
    <t>Fiy</t>
  </si>
  <si>
    <t>Fvx</t>
  </si>
  <si>
    <t xml:space="preserve">Fvy </t>
  </si>
  <si>
    <t>Rcy</t>
  </si>
  <si>
    <t>Fjy</t>
  </si>
  <si>
    <t>Fjx</t>
  </si>
  <si>
    <t>Compos. F en I sur AB</t>
  </si>
  <si>
    <t>Fi (action mutuelle en I)</t>
  </si>
  <si>
    <t>Fj (action mutuelle en J)</t>
  </si>
  <si>
    <t>Composante F vérin</t>
  </si>
  <si>
    <t>Compos. F en J sur DE</t>
  </si>
  <si>
    <t>Fk (action mutuelle en K)</t>
  </si>
  <si>
    <t>Fkx</t>
  </si>
  <si>
    <t>Fky</t>
  </si>
  <si>
    <t>Composantes des forces (daN)</t>
  </si>
  <si>
    <t>Compos. F en K sur FG</t>
  </si>
  <si>
    <t>Fhy</t>
  </si>
  <si>
    <t xml:space="preserve">Fhx </t>
  </si>
  <si>
    <t>Fgx</t>
  </si>
  <si>
    <t>Fgy</t>
  </si>
  <si>
    <t>Re</t>
  </si>
  <si>
    <t>Rf</t>
  </si>
  <si>
    <t xml:space="preserve">Rfx </t>
  </si>
  <si>
    <t>Rfy</t>
  </si>
  <si>
    <t>Rex</t>
  </si>
  <si>
    <t>Rey</t>
  </si>
  <si>
    <t>Xg5 (mm)</t>
  </si>
  <si>
    <t>Xg6(mm)</t>
  </si>
  <si>
    <t>l</t>
  </si>
  <si>
    <t>m</t>
  </si>
  <si>
    <t>n</t>
  </si>
  <si>
    <t>o</t>
  </si>
  <si>
    <t>p</t>
  </si>
  <si>
    <t>q</t>
  </si>
  <si>
    <t>r</t>
  </si>
  <si>
    <t>s</t>
  </si>
  <si>
    <t>t</t>
  </si>
  <si>
    <t>u</t>
  </si>
  <si>
    <t>v</t>
  </si>
  <si>
    <t>w</t>
  </si>
  <si>
    <r>
      <t xml:space="preserve">POSITION DES CDG DES BRAS   </t>
    </r>
    <r>
      <rPr>
        <sz val="10"/>
        <rFont val="Times New Roman"/>
        <family val="1"/>
      </rPr>
      <t>(repère particulier en mm)</t>
    </r>
  </si>
  <si>
    <t>a</t>
  </si>
  <si>
    <t>b</t>
  </si>
  <si>
    <t>a'</t>
  </si>
  <si>
    <t>b'</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</si>
</sst>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
    <numFmt numFmtId="165" formatCode="0.000"/>
    <numFmt numFmtId="166" formatCode="\ #,##0.00&quot; F &quot;;\-#,##0.00&quot; F &quot;;&quot; -&quot;#&quot; F &quot;;@\ "/>
    <numFmt numFmtId="167" formatCode="0.0000000"/>
  </numFmts>
  <fonts count="39" x14ac:knownFonts="1">
    <font>
      <sz val="11"/>
      <color theme="1"/>
      <name val="Calibri"/>
      <family val="2"/>
      <scheme val="minor"/>
    </font>
    <font>
      <sz val="10"/>
      <name val="Times New Roman"/>
      <family val="1"/>
    </font>
    <font>
      <b/>
      <sz val="12"/>
      <name val="Times New Roman"/>
      <family val="1"/>
    </font>
    <font>
      <b/>
      <sz val="9"/>
      <color indexed="81"/>
      <name val="Tahoma"/>
      <family val="2"/>
    </font>
    <font>
      <sz val="9"/>
      <color indexed="81"/>
      <name val="Tahoma"/>
      <family val="2"/>
    </font>
    <font>
      <sz val="10"/>
      <color theme="1"/>
      <name val="Times New Roman"/>
      <family val="1"/>
    </font>
    <font>
      <vertAlign val="subscript"/>
      <sz val="10"/>
      <color theme="1"/>
      <name val="Times New Roman"/>
      <family val="1"/>
    </font>
    <font>
      <sz val="10"/>
      <name val="Arial"/>
      <family val="2"/>
    </font>
    <font>
      <sz val="12"/>
      <name val="Times New Roman"/>
      <family val="1"/>
    </font>
    <font>
      <b/>
      <sz val="10"/>
      <name val="Arial"/>
      <family val="2"/>
    </font>
    <font>
      <sz val="12"/>
      <color theme="1"/>
      <name val="Times New Roman"/>
      <family val="1"/>
    </font>
    <font>
      <vertAlign val="superscript"/>
      <sz val="10"/>
      <color theme="1"/>
      <name val="Times New Roman"/>
      <family val="1"/>
    </font>
    <font>
      <sz val="10"/>
      <color theme="1"/>
      <name val="Calibri"/>
      <family val="2"/>
    </font>
    <font>
      <b/>
      <sz val="10"/>
      <name val="Times New Roman"/>
      <family val="1"/>
    </font>
    <font>
      <sz val="10"/>
      <color indexed="48"/>
      <name val="Times New Roman"/>
      <family val="1"/>
    </font>
    <font>
      <i/>
      <sz val="12"/>
      <name val="Times New Roman"/>
      <family val="1"/>
    </font>
    <font>
      <b/>
      <sz val="10"/>
      <name val="Comic Sans MS"/>
      <family val="4"/>
      <charset val="1"/>
    </font>
    <font>
      <sz val="14"/>
      <name val="Arial"/>
      <family val="2"/>
    </font>
    <font>
      <b/>
      <sz val="10"/>
      <color indexed="10"/>
      <name val="Arial"/>
      <family val="2"/>
    </font>
    <font>
      <sz val="10"/>
      <name val="Arial"/>
      <family val="2"/>
    </font>
    <font>
      <sz val="10"/>
      <color indexed="48"/>
      <name val="Arial"/>
      <family val="2"/>
    </font>
    <font>
      <sz val="10"/>
      <color indexed="10"/>
      <name val="Arial"/>
      <family val="2"/>
    </font>
    <font>
      <b/>
      <sz val="10"/>
      <color indexed="48"/>
      <name val="Arial"/>
      <family val="2"/>
    </font>
    <font>
      <b/>
      <u/>
      <sz val="10"/>
      <color indexed="20"/>
      <name val="Arial"/>
      <family val="2"/>
    </font>
    <font>
      <sz val="10"/>
      <color indexed="61"/>
      <name val="Arial"/>
      <family val="2"/>
    </font>
    <font>
      <sz val="10"/>
      <color indexed="10"/>
      <name val="Times New Roman"/>
      <family val="1"/>
    </font>
    <font>
      <b/>
      <sz val="10"/>
      <color indexed="48"/>
      <name val="Times New Roman"/>
      <family val="1"/>
    </font>
    <font>
      <sz val="10"/>
      <color indexed="61"/>
      <name val="Times New Roman"/>
      <family val="1"/>
    </font>
    <font>
      <b/>
      <u/>
      <sz val="10"/>
      <color indexed="20"/>
      <name val="Times New Roman"/>
      <family val="1"/>
    </font>
    <font>
      <sz val="14"/>
      <name val="Times New Roman"/>
      <family val="1"/>
    </font>
    <font>
      <sz val="10"/>
      <color theme="9"/>
      <name val="Times New Roman"/>
      <family val="1"/>
    </font>
    <font>
      <sz val="10"/>
      <color rgb="FF7030A0"/>
      <name val="Times New Roman"/>
      <family val="1"/>
    </font>
    <font>
      <b/>
      <sz val="12"/>
      <color theme="5"/>
      <name val="Times New Roman"/>
      <family val="1"/>
    </font>
    <font>
      <i/>
      <sz val="10"/>
      <name val="Times New Roman"/>
      <family val="1"/>
    </font>
    <font>
      <sz val="10"/>
      <color theme="4"/>
      <name val="Times New Roman"/>
      <family val="1"/>
    </font>
    <font>
      <b/>
      <sz val="10"/>
      <color rgb="FF7030A0"/>
      <name val="Times New Roman"/>
      <family val="1"/>
    </font>
    <font>
      <i/>
      <sz val="10"/>
      <color rgb="FF7030A0"/>
      <name val="Times New Roman"/>
      <family val="1"/>
    </font>
    <font>
      <sz val="11"/>
      <color rgb="FF7030A0"/>
      <name val="Times New Roman"/>
      <family val="1"/>
    </font>
    <font>
      <sz val="10"/>
      <color theme="1"/>
      <name val="Calibri"/>
      <family val="2"/>
      <scheme val="minor"/>
    </font>
  </fonts>
  <fills count="16">
    <fill>
      <patternFill patternType="none"/>
    </fill>
    <fill>
      <patternFill patternType="gray125"/>
    </fill>
    <fill>
      <patternFill patternType="solid">
        <fgColor rgb="FFFFC000"/>
        <bgColor indexed="64"/>
      </patternFill>
    </fill>
    <fill>
      <patternFill patternType="solid">
        <fgColor rgb="FFFFC000"/>
        <bgColor indexed="29"/>
      </patternFill>
    </fill>
    <fill>
      <patternFill patternType="solid">
        <fgColor rgb="FFFFC000"/>
        <bgColor indexed="22"/>
      </patternFill>
    </fill>
    <fill>
      <patternFill patternType="solid">
        <fgColor rgb="FFFFFF66"/>
        <bgColor indexed="64"/>
      </patternFill>
    </fill>
    <fill>
      <patternFill patternType="solid">
        <fgColor indexed="10"/>
        <bgColor indexed="60"/>
      </patternFill>
    </fill>
    <fill>
      <patternFill patternType="solid">
        <fgColor indexed="11"/>
        <bgColor indexed="49"/>
      </patternFill>
    </fill>
    <fill>
      <patternFill patternType="solid">
        <fgColor indexed="43"/>
        <bgColor indexed="64"/>
      </patternFill>
    </fill>
    <fill>
      <patternFill patternType="solid">
        <fgColor rgb="FFFFFF00"/>
        <bgColor indexed="64"/>
      </patternFill>
    </fill>
    <fill>
      <patternFill patternType="solid">
        <fgColor indexed="42"/>
        <bgColor indexed="64"/>
      </patternFill>
    </fill>
    <fill>
      <patternFill patternType="solid">
        <fgColor indexed="46"/>
        <bgColor indexed="64"/>
      </patternFill>
    </fill>
    <fill>
      <patternFill patternType="solid">
        <fgColor indexed="11"/>
        <bgColor indexed="64"/>
      </patternFill>
    </fill>
    <fill>
      <patternFill patternType="solid">
        <fgColor indexed="47"/>
        <bgColor indexed="64"/>
      </patternFill>
    </fill>
    <fill>
      <patternFill patternType="solid">
        <fgColor indexed="13"/>
        <bgColor indexed="64"/>
      </patternFill>
    </fill>
    <fill>
      <patternFill patternType="solid">
        <fgColor indexed="41"/>
        <bgColor indexed="64"/>
      </patternFill>
    </fill>
  </fills>
  <borders count="90">
    <border>
      <left/>
      <right/>
      <top/>
      <bottom/>
      <diagonal/>
    </border>
    <border>
      <left style="thin">
        <color indexed="64"/>
      </left>
      <right style="thin">
        <color indexed="64"/>
      </right>
      <top style="thin">
        <color indexed="64"/>
      </top>
      <bottom style="thin">
        <color indexed="64"/>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right style="hair">
        <color indexed="8"/>
      </right>
      <top style="hair">
        <color indexed="8"/>
      </top>
      <bottom style="hair">
        <color indexed="8"/>
      </bottom>
      <diagonal/>
    </border>
    <border>
      <left style="hair">
        <color indexed="64"/>
      </left>
      <right style="hair">
        <color indexed="64"/>
      </right>
      <top style="hair">
        <color indexed="64"/>
      </top>
      <bottom style="hair">
        <color indexed="64"/>
      </bottom>
      <diagonal/>
    </border>
    <border>
      <left style="hair">
        <color indexed="8"/>
      </left>
      <right style="hair">
        <color indexed="8"/>
      </right>
      <top/>
      <bottom style="hair">
        <color indexed="8"/>
      </bottom>
      <diagonal/>
    </border>
    <border>
      <left style="hair">
        <color indexed="8"/>
      </left>
      <right/>
      <top style="hair">
        <color indexed="8"/>
      </top>
      <bottom/>
      <diagonal/>
    </border>
    <border>
      <left/>
      <right style="hair">
        <color indexed="8"/>
      </right>
      <top style="hair">
        <color indexed="8"/>
      </top>
      <bottom/>
      <diagonal/>
    </border>
    <border>
      <left style="hair">
        <color indexed="8"/>
      </left>
      <right style="hair">
        <color indexed="8"/>
      </right>
      <top style="hair">
        <color indexed="8"/>
      </top>
      <bottom/>
      <diagonal/>
    </border>
    <border>
      <left style="hair">
        <color indexed="8"/>
      </left>
      <right style="hair">
        <color indexed="8"/>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8"/>
      </bottom>
      <diagonal/>
    </border>
    <border>
      <left style="hair">
        <color indexed="64"/>
      </left>
      <right style="hair">
        <color indexed="64"/>
      </right>
      <top style="hair">
        <color indexed="8"/>
      </top>
      <bottom style="hair">
        <color indexed="8"/>
      </bottom>
      <diagonal/>
    </border>
    <border>
      <left style="hair">
        <color indexed="64"/>
      </left>
      <right style="hair">
        <color indexed="64"/>
      </right>
      <top style="hair">
        <color indexed="8"/>
      </top>
      <bottom/>
      <diagonal/>
    </border>
    <border>
      <left style="thin">
        <color indexed="64"/>
      </left>
      <right style="thin">
        <color indexed="64"/>
      </right>
      <top/>
      <bottom style="thin">
        <color indexed="64"/>
      </bottom>
      <diagonal/>
    </border>
    <border>
      <left/>
      <right style="hair">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22"/>
      </top>
      <bottom style="medium">
        <color indexed="64"/>
      </bottom>
      <diagonal/>
    </border>
    <border>
      <left style="thin">
        <color indexed="64"/>
      </left>
      <right style="thin">
        <color indexed="64"/>
      </right>
      <top style="thin">
        <color indexed="22"/>
      </top>
      <bottom style="medium">
        <color indexed="64"/>
      </bottom>
      <diagonal/>
    </border>
    <border>
      <left style="medium">
        <color indexed="64"/>
      </left>
      <right style="thin">
        <color indexed="64"/>
      </right>
      <top style="thin">
        <color indexed="22"/>
      </top>
      <bottom style="medium">
        <color indexed="64"/>
      </bottom>
      <diagonal/>
    </border>
    <border>
      <left/>
      <right style="medium">
        <color indexed="64"/>
      </right>
      <top/>
      <bottom style="thin">
        <color indexed="64"/>
      </bottom>
      <diagonal/>
    </border>
    <border>
      <left style="thin">
        <color indexed="64"/>
      </left>
      <right style="medium">
        <color indexed="64"/>
      </right>
      <top style="thin">
        <color indexed="22"/>
      </top>
      <bottom style="medium">
        <color indexed="64"/>
      </bottom>
      <diagonal/>
    </border>
    <border>
      <left style="thin">
        <color indexed="64"/>
      </left>
      <right/>
      <top style="thin">
        <color indexed="22"/>
      </top>
      <bottom style="medium">
        <color indexed="64"/>
      </bottom>
      <diagonal/>
    </border>
    <border>
      <left style="thin">
        <color indexed="64"/>
      </left>
      <right style="medium">
        <color indexed="64"/>
      </right>
      <top/>
      <bottom style="thin">
        <color indexed="22"/>
      </bottom>
      <diagonal/>
    </border>
    <border>
      <left/>
      <right style="medium">
        <color indexed="64"/>
      </right>
      <top/>
      <bottom style="thin">
        <color indexed="22"/>
      </bottom>
      <diagonal/>
    </border>
    <border>
      <left style="thin">
        <color indexed="64"/>
      </left>
      <right style="thin">
        <color indexed="64"/>
      </right>
      <top/>
      <bottom style="thin">
        <color indexed="22"/>
      </bottom>
      <diagonal/>
    </border>
    <border>
      <left style="thin">
        <color indexed="64"/>
      </left>
      <right style="thin">
        <color indexed="64"/>
      </right>
      <top style="thin">
        <color indexed="22"/>
      </top>
      <bottom style="thin">
        <color indexed="22"/>
      </bottom>
      <diagonal/>
    </border>
    <border>
      <left style="medium">
        <color indexed="64"/>
      </left>
      <right style="thin">
        <color indexed="64"/>
      </right>
      <top style="thin">
        <color indexed="22"/>
      </top>
      <bottom style="thin">
        <color indexed="22"/>
      </bottom>
      <diagonal/>
    </border>
    <border>
      <left style="thin">
        <color indexed="64"/>
      </left>
      <right style="medium">
        <color indexed="64"/>
      </right>
      <top style="thin">
        <color indexed="22"/>
      </top>
      <bottom style="thin">
        <color indexed="22"/>
      </bottom>
      <diagonal/>
    </border>
    <border>
      <left style="thin">
        <color indexed="64"/>
      </left>
      <right/>
      <top style="thin">
        <color indexed="22"/>
      </top>
      <bottom style="thin">
        <color indexed="22"/>
      </bottom>
      <diagonal/>
    </border>
    <border>
      <left style="thin">
        <color indexed="64"/>
      </left>
      <right/>
      <top/>
      <bottom style="thin">
        <color indexed="22"/>
      </bottom>
      <diagonal/>
    </border>
    <border>
      <left style="medium">
        <color indexed="64"/>
      </left>
      <right style="thin">
        <color indexed="64"/>
      </right>
      <top/>
      <bottom style="thin">
        <color indexed="22"/>
      </bottom>
      <diagonal/>
    </border>
    <border>
      <left style="thin">
        <color indexed="64"/>
      </left>
      <right style="thin">
        <color indexed="64"/>
      </right>
      <top style="thin">
        <color indexed="64"/>
      </top>
      <bottom style="thin">
        <color indexed="22"/>
      </bottom>
      <diagonal/>
    </border>
    <border>
      <left style="medium">
        <color indexed="64"/>
      </left>
      <right style="thin">
        <color indexed="64"/>
      </right>
      <top style="thin">
        <color indexed="64"/>
      </top>
      <bottom style="thin">
        <color indexed="22"/>
      </bottom>
      <diagonal/>
    </border>
    <border>
      <left style="thin">
        <color indexed="64"/>
      </left>
      <right style="medium">
        <color indexed="64"/>
      </right>
      <top style="thin">
        <color indexed="64"/>
      </top>
      <bottom style="thin">
        <color indexed="22"/>
      </bottom>
      <diagonal/>
    </border>
    <border>
      <left style="thin">
        <color indexed="64"/>
      </left>
      <right/>
      <top style="thin">
        <color indexed="64"/>
      </top>
      <bottom style="thin">
        <color indexed="22"/>
      </bottom>
      <diagonal/>
    </border>
    <border>
      <left/>
      <right style="thin">
        <color indexed="48"/>
      </right>
      <top/>
      <bottom style="thin">
        <color indexed="48"/>
      </bottom>
      <diagonal/>
    </border>
    <border>
      <left/>
      <right/>
      <top/>
      <bottom style="thin">
        <color indexed="48"/>
      </bottom>
      <diagonal/>
    </border>
    <border>
      <left style="thin">
        <color indexed="48"/>
      </left>
      <right/>
      <top/>
      <bottom style="thin">
        <color indexed="48"/>
      </bottom>
      <diagonal/>
    </border>
    <border>
      <left/>
      <right style="thin">
        <color indexed="48"/>
      </right>
      <top/>
      <bottom/>
      <diagonal/>
    </border>
    <border>
      <left style="thin">
        <color indexed="48"/>
      </left>
      <right/>
      <top/>
      <bottom/>
      <diagonal/>
    </border>
    <border>
      <left/>
      <right style="medium">
        <color indexed="64"/>
      </right>
      <top style="medium">
        <color indexed="64"/>
      </top>
      <bottom style="thin">
        <color indexed="22"/>
      </bottom>
      <diagonal/>
    </border>
    <border>
      <left style="medium">
        <color indexed="64"/>
      </left>
      <right/>
      <top style="medium">
        <color indexed="64"/>
      </top>
      <bottom style="thin">
        <color indexed="22"/>
      </bottom>
      <diagonal/>
    </border>
    <border>
      <left/>
      <right style="thin">
        <color indexed="64"/>
      </right>
      <top/>
      <bottom style="medium">
        <color indexed="64"/>
      </bottom>
      <diagonal/>
    </border>
    <border>
      <left/>
      <right style="thin">
        <color indexed="64"/>
      </right>
      <top style="thin">
        <color indexed="22"/>
      </top>
      <bottom style="thin">
        <color indexed="22"/>
      </bottom>
      <diagonal/>
    </border>
    <border>
      <left/>
      <right style="medium">
        <color indexed="64"/>
      </right>
      <top style="thin">
        <color indexed="22"/>
      </top>
      <bottom style="thin">
        <color indexed="22"/>
      </bottom>
      <diagonal/>
    </border>
    <border>
      <left/>
      <right/>
      <top style="thin">
        <color indexed="22"/>
      </top>
      <bottom style="thin">
        <color indexed="22"/>
      </bottom>
      <diagonal/>
    </border>
    <border>
      <left/>
      <right style="thin">
        <color indexed="48"/>
      </right>
      <top style="thin">
        <color indexed="48"/>
      </top>
      <bottom/>
      <diagonal/>
    </border>
    <border>
      <left/>
      <right/>
      <top style="thin">
        <color indexed="48"/>
      </top>
      <bottom/>
      <diagonal/>
    </border>
    <border>
      <left style="thin">
        <color indexed="48"/>
      </left>
      <right/>
      <top style="thin">
        <color indexed="48"/>
      </top>
      <bottom/>
      <diagonal/>
    </border>
    <border>
      <left/>
      <right/>
      <top style="medium">
        <color indexed="64"/>
      </top>
      <bottom style="thin">
        <color indexed="22"/>
      </bottom>
      <diagonal/>
    </border>
    <border>
      <left style="thin">
        <color indexed="64"/>
      </left>
      <right/>
      <top style="medium">
        <color indexed="64"/>
      </top>
      <bottom style="thin">
        <color indexed="22"/>
      </bottom>
      <diagonal/>
    </border>
    <border>
      <left style="thin">
        <color indexed="64"/>
      </left>
      <right style="medium">
        <color indexed="64"/>
      </right>
      <top style="medium">
        <color indexed="64"/>
      </top>
      <bottom style="thin">
        <color indexed="22"/>
      </bottom>
      <diagonal/>
    </border>
    <border>
      <left/>
      <right/>
      <top style="thin">
        <color indexed="64"/>
      </top>
      <bottom style="thin">
        <color indexed="64"/>
      </bottom>
      <diagonal/>
    </border>
    <border>
      <left style="medium">
        <color indexed="64"/>
      </left>
      <right/>
      <top/>
      <bottom style="thin">
        <color indexed="64"/>
      </bottom>
      <diagonal/>
    </border>
  </borders>
  <cellStyleXfs count="7">
    <xf numFmtId="0" fontId="0" fillId="0" borderId="0"/>
    <xf numFmtId="0" fontId="7" fillId="0" borderId="0"/>
    <xf numFmtId="0" fontId="16" fillId="6" borderId="2" applyNumberFormat="0" applyAlignment="0" applyProtection="0"/>
    <xf numFmtId="0" fontId="16" fillId="7" borderId="2" applyNumberFormat="0" applyAlignment="0" applyProtection="0"/>
    <xf numFmtId="43" fontId="7" fillId="0" borderId="0" applyFill="0" applyBorder="0" applyAlignment="0" applyProtection="0"/>
    <xf numFmtId="166" fontId="7" fillId="0" borderId="0" applyFill="0" applyBorder="0" applyAlignment="0" applyProtection="0"/>
    <xf numFmtId="0" fontId="19" fillId="0" borderId="0"/>
  </cellStyleXfs>
  <cellXfs count="528">
    <xf numFmtId="0" fontId="0" fillId="0" borderId="0" xfId="0"/>
    <xf numFmtId="0" fontId="10" fillId="0" borderId="0" xfId="0" applyFont="1"/>
    <xf numFmtId="0" fontId="5" fillId="0" borderId="0" xfId="0" applyFont="1"/>
    <xf numFmtId="0" fontId="5" fillId="0" borderId="0" xfId="0" quotePrefix="1" applyFont="1"/>
    <xf numFmtId="164" fontId="5" fillId="0" borderId="0" xfId="0" applyNumberFormat="1" applyFont="1" applyBorder="1" applyAlignment="1">
      <alignment horizontal="left"/>
    </xf>
    <xf numFmtId="0" fontId="19" fillId="0" borderId="0" xfId="6"/>
    <xf numFmtId="0" fontId="19" fillId="0" borderId="0" xfId="6" applyFill="1" applyBorder="1"/>
    <xf numFmtId="0" fontId="19" fillId="0" borderId="0" xfId="6" applyAlignment="1"/>
    <xf numFmtId="0" fontId="19" fillId="0" borderId="0" xfId="6" applyBorder="1"/>
    <xf numFmtId="167" fontId="19" fillId="0" borderId="0" xfId="6" applyNumberFormat="1"/>
    <xf numFmtId="0" fontId="7" fillId="0" borderId="0" xfId="6" applyFont="1" applyAlignment="1">
      <alignment wrapText="1"/>
    </xf>
    <xf numFmtId="0" fontId="7" fillId="0" borderId="0" xfId="6" applyFont="1" applyAlignment="1">
      <alignment horizontal="left" vertical="top" wrapText="1"/>
    </xf>
    <xf numFmtId="0" fontId="7" fillId="0" borderId="0" xfId="6" applyFont="1"/>
    <xf numFmtId="0" fontId="7" fillId="0" borderId="0" xfId="6" quotePrefix="1" applyFont="1" applyAlignment="1">
      <alignment horizontal="left" vertical="top" wrapText="1"/>
    </xf>
    <xf numFmtId="0" fontId="19" fillId="0" borderId="0" xfId="6" applyAlignment="1">
      <alignment vertical="top" wrapText="1"/>
    </xf>
    <xf numFmtId="0" fontId="19" fillId="0" borderId="0" xfId="6" applyAlignment="1">
      <alignment horizontal="center"/>
    </xf>
    <xf numFmtId="0" fontId="20" fillId="0" borderId="0" xfId="6" applyFont="1" applyAlignment="1">
      <alignment vertical="top" wrapText="1"/>
    </xf>
    <xf numFmtId="0" fontId="19" fillId="0" borderId="0" xfId="6" applyBorder="1" applyAlignment="1">
      <alignment vertical="top" wrapText="1"/>
    </xf>
    <xf numFmtId="0" fontId="20" fillId="0" borderId="0" xfId="6" quotePrefix="1" applyFont="1" applyBorder="1" applyAlignment="1">
      <alignment vertical="top" wrapText="1"/>
    </xf>
    <xf numFmtId="0" fontId="7" fillId="0" borderId="0" xfId="6" quotePrefix="1" applyFont="1" applyBorder="1" applyAlignment="1">
      <alignment vertical="top" wrapText="1"/>
    </xf>
    <xf numFmtId="0" fontId="21" fillId="0" borderId="0" xfId="6" applyFont="1" applyBorder="1" applyAlignment="1">
      <alignment horizontal="left" vertical="top" wrapText="1"/>
    </xf>
    <xf numFmtId="0" fontId="21" fillId="0" borderId="0" xfId="6" applyFont="1" applyBorder="1" applyAlignment="1">
      <alignment vertical="top" wrapText="1"/>
    </xf>
    <xf numFmtId="0" fontId="7" fillId="0" borderId="0" xfId="6" quotePrefix="1" applyFont="1" applyBorder="1" applyAlignment="1"/>
    <xf numFmtId="0" fontId="7" fillId="0" borderId="0" xfId="6" applyFont="1" applyAlignment="1">
      <alignment horizontal="left" vertical="center" wrapText="1"/>
    </xf>
    <xf numFmtId="0" fontId="7" fillId="0" borderId="0" xfId="6" applyFont="1" applyAlignment="1">
      <alignment horizontal="right" vertical="center" wrapText="1"/>
    </xf>
    <xf numFmtId="0" fontId="7" fillId="0" borderId="0" xfId="6" applyFont="1" applyBorder="1"/>
    <xf numFmtId="0" fontId="7" fillId="0" borderId="0" xfId="6" applyFont="1" applyBorder="1" applyAlignment="1">
      <alignment horizontal="left"/>
    </xf>
    <xf numFmtId="0" fontId="7" fillId="0" borderId="0" xfId="6" applyFont="1" applyFill="1" applyBorder="1" applyAlignment="1">
      <alignment horizontal="right" vertical="center" wrapText="1"/>
    </xf>
    <xf numFmtId="0" fontId="20" fillId="0" borderId="0" xfId="6" applyFont="1" applyAlignment="1">
      <alignment horizontal="center"/>
    </xf>
    <xf numFmtId="0" fontId="7" fillId="0" borderId="0" xfId="6" applyFont="1" applyFill="1" applyBorder="1"/>
    <xf numFmtId="0" fontId="7" fillId="0" borderId="0" xfId="6" quotePrefix="1" applyFont="1" applyBorder="1" applyAlignment="1">
      <alignment horizontal="left"/>
    </xf>
    <xf numFmtId="0" fontId="19" fillId="0" borderId="0" xfId="6" applyAlignment="1">
      <alignment vertical="center" wrapText="1"/>
    </xf>
    <xf numFmtId="0" fontId="19" fillId="0" borderId="0" xfId="6" applyAlignment="1">
      <alignment horizontal="left"/>
    </xf>
    <xf numFmtId="0" fontId="17" fillId="0" borderId="0" xfId="6" quotePrefix="1" applyFont="1" applyAlignment="1">
      <alignment vertical="center" wrapText="1"/>
    </xf>
    <xf numFmtId="0" fontId="21" fillId="0" borderId="0" xfId="6" applyFont="1" applyAlignment="1">
      <alignment vertical="center" wrapText="1"/>
    </xf>
    <xf numFmtId="2" fontId="19" fillId="0" borderId="0" xfId="6" applyNumberFormat="1" applyBorder="1"/>
    <xf numFmtId="0" fontId="21" fillId="0" borderId="0" xfId="6" applyFont="1" applyFill="1" applyBorder="1" applyAlignment="1">
      <alignment vertical="center" wrapText="1"/>
    </xf>
    <xf numFmtId="2" fontId="19" fillId="0" borderId="0" xfId="6" applyNumberFormat="1" applyBorder="1" applyAlignment="1">
      <alignment horizontal="right"/>
    </xf>
    <xf numFmtId="2" fontId="19" fillId="0" borderId="0" xfId="6" applyNumberFormat="1" applyFill="1" applyBorder="1" applyAlignment="1">
      <alignment horizontal="right"/>
    </xf>
    <xf numFmtId="0" fontId="7" fillId="0" borderId="0" xfId="6" applyFont="1" applyBorder="1" applyAlignment="1"/>
    <xf numFmtId="0" fontId="20" fillId="0" borderId="0" xfId="6" applyFont="1" applyAlignment="1">
      <alignment horizontal="center" vertical="top" wrapText="1"/>
    </xf>
    <xf numFmtId="0" fontId="20" fillId="0" borderId="0" xfId="6" quotePrefix="1" applyFont="1" applyBorder="1" applyAlignment="1">
      <alignment vertical="center" wrapText="1"/>
    </xf>
    <xf numFmtId="0" fontId="20" fillId="0" borderId="0" xfId="6" applyFont="1" applyBorder="1" applyAlignment="1">
      <alignment horizontal="left"/>
    </xf>
    <xf numFmtId="0" fontId="23" fillId="0" borderId="0" xfId="6" applyFont="1" applyBorder="1" applyAlignment="1"/>
    <xf numFmtId="167" fontId="19" fillId="0" borderId="0" xfId="6" applyNumberFormat="1" applyBorder="1" applyAlignment="1">
      <alignment horizontal="center"/>
    </xf>
    <xf numFmtId="2" fontId="19" fillId="0" borderId="0" xfId="6" applyNumberFormat="1" applyBorder="1" applyAlignment="1">
      <alignment horizontal="center"/>
    </xf>
    <xf numFmtId="0" fontId="19" fillId="0" borderId="0" xfId="6" applyBorder="1" applyAlignment="1">
      <alignment horizontal="center"/>
    </xf>
    <xf numFmtId="2" fontId="19" fillId="0" borderId="0" xfId="6" applyNumberFormat="1" applyFill="1" applyBorder="1"/>
    <xf numFmtId="0" fontId="19" fillId="0" borderId="0" xfId="6" applyFill="1" applyBorder="1" applyAlignment="1">
      <alignment horizontal="center"/>
    </xf>
    <xf numFmtId="2" fontId="19" fillId="0" borderId="52" xfId="6" applyNumberFormat="1" applyBorder="1" applyAlignment="1">
      <alignment horizontal="right"/>
    </xf>
    <xf numFmtId="2" fontId="19" fillId="0" borderId="53" xfId="6" applyNumberFormat="1" applyBorder="1"/>
    <xf numFmtId="167" fontId="19" fillId="0" borderId="53" xfId="6" applyNumberFormat="1" applyBorder="1" applyAlignment="1">
      <alignment horizontal="center"/>
    </xf>
    <xf numFmtId="167" fontId="19" fillId="0" borderId="54" xfId="6" applyNumberFormat="1" applyBorder="1" applyAlignment="1">
      <alignment horizontal="center"/>
    </xf>
    <xf numFmtId="2" fontId="19" fillId="0" borderId="24" xfId="6" applyNumberFormat="1" applyBorder="1"/>
    <xf numFmtId="2" fontId="19" fillId="0" borderId="31" xfId="6" applyNumberFormat="1" applyBorder="1"/>
    <xf numFmtId="2" fontId="19" fillId="0" borderId="23" xfId="6" applyNumberFormat="1" applyBorder="1"/>
    <xf numFmtId="2" fontId="19" fillId="0" borderId="27" xfId="6" applyNumberFormat="1" applyBorder="1" applyAlignment="1">
      <alignment horizontal="center"/>
    </xf>
    <xf numFmtId="2" fontId="19" fillId="0" borderId="24" xfId="6" applyNumberFormat="1" applyBorder="1" applyAlignment="1">
      <alignment horizontal="center"/>
    </xf>
    <xf numFmtId="2" fontId="19" fillId="0" borderId="23" xfId="6" applyNumberFormat="1" applyBorder="1" applyAlignment="1">
      <alignment horizontal="center"/>
    </xf>
    <xf numFmtId="2" fontId="19" fillId="0" borderId="47" xfId="6" applyNumberFormat="1" applyBorder="1" applyAlignment="1">
      <alignment horizontal="center"/>
    </xf>
    <xf numFmtId="0" fontId="19" fillId="0" borderId="53" xfId="6" applyBorder="1" applyAlignment="1">
      <alignment horizontal="center"/>
    </xf>
    <xf numFmtId="2" fontId="19" fillId="0" borderId="54" xfId="6" applyNumberFormat="1" applyBorder="1"/>
    <xf numFmtId="2" fontId="19" fillId="10" borderId="24" xfId="6" applyNumberFormat="1" applyFill="1" applyBorder="1" applyAlignment="1">
      <alignment horizontal="right"/>
    </xf>
    <xf numFmtId="0" fontId="19" fillId="8" borderId="54" xfId="6" applyFill="1" applyBorder="1" applyAlignment="1">
      <alignment horizontal="center"/>
    </xf>
    <xf numFmtId="0" fontId="19" fillId="0" borderId="55" xfId="6" applyBorder="1" applyAlignment="1">
      <alignment horizontal="center" vertical="center"/>
    </xf>
    <xf numFmtId="0" fontId="19" fillId="0" borderId="15" xfId="6" applyBorder="1" applyAlignment="1">
      <alignment horizontal="center" vertical="center"/>
    </xf>
    <xf numFmtId="0" fontId="19" fillId="0" borderId="33" xfId="6" applyBorder="1" applyAlignment="1">
      <alignment horizontal="center" vertical="center"/>
    </xf>
    <xf numFmtId="0" fontId="19" fillId="0" borderId="34" xfId="6" applyBorder="1" applyAlignment="1">
      <alignment horizontal="center" vertical="center"/>
    </xf>
    <xf numFmtId="0" fontId="19" fillId="0" borderId="29" xfId="6" applyBorder="1" applyAlignment="1">
      <alignment horizontal="center" vertical="center"/>
    </xf>
    <xf numFmtId="0" fontId="19" fillId="0" borderId="1" xfId="6" applyBorder="1" applyAlignment="1">
      <alignment horizontal="center" vertical="center"/>
    </xf>
    <xf numFmtId="0" fontId="19" fillId="0" borderId="21" xfId="6" applyBorder="1" applyAlignment="1">
      <alignment horizontal="center" vertical="center"/>
    </xf>
    <xf numFmtId="0" fontId="19" fillId="0" borderId="0" xfId="6" applyBorder="1" applyAlignment="1">
      <alignment horizontal="center" vertical="center"/>
    </xf>
    <xf numFmtId="0" fontId="19" fillId="0" borderId="22" xfId="6" applyBorder="1" applyAlignment="1">
      <alignment horizontal="center" vertical="center"/>
    </xf>
    <xf numFmtId="0" fontId="19" fillId="11" borderId="51" xfId="6" applyFill="1" applyBorder="1" applyAlignment="1">
      <alignment horizontal="center" vertical="center"/>
    </xf>
    <xf numFmtId="0" fontId="19" fillId="11" borderId="25" xfId="6" applyFill="1" applyBorder="1" applyAlignment="1">
      <alignment horizontal="center" vertical="center"/>
    </xf>
    <xf numFmtId="0" fontId="19" fillId="11" borderId="44" xfId="6" applyFill="1" applyBorder="1" applyAlignment="1">
      <alignment horizontal="center" vertical="center"/>
    </xf>
    <xf numFmtId="0" fontId="19" fillId="12" borderId="25" xfId="6" applyFill="1" applyBorder="1" applyAlignment="1">
      <alignment horizontal="center" vertical="center"/>
    </xf>
    <xf numFmtId="0" fontId="20" fillId="0" borderId="0" xfId="6" applyFont="1"/>
    <xf numFmtId="0" fontId="19" fillId="13" borderId="25" xfId="6" applyFill="1" applyBorder="1" applyAlignment="1">
      <alignment horizontal="center" vertical="center"/>
    </xf>
    <xf numFmtId="0" fontId="19" fillId="13" borderId="28" xfId="6" applyFill="1" applyBorder="1" applyAlignment="1">
      <alignment horizontal="center" vertical="center"/>
    </xf>
    <xf numFmtId="0" fontId="19" fillId="0" borderId="0" xfId="6" applyFill="1" applyAlignment="1">
      <alignment horizontal="center"/>
    </xf>
    <xf numFmtId="0" fontId="21" fillId="0" borderId="0" xfId="6" applyFont="1" applyAlignment="1">
      <alignment vertical="center"/>
    </xf>
    <xf numFmtId="0" fontId="21" fillId="0" borderId="0" xfId="6" quotePrefix="1" applyFont="1" applyAlignment="1">
      <alignment vertical="center"/>
    </xf>
    <xf numFmtId="2" fontId="19" fillId="0" borderId="0" xfId="6" applyNumberFormat="1" applyFont="1" applyFill="1" applyBorder="1"/>
    <xf numFmtId="0" fontId="24" fillId="0" borderId="0" xfId="6" applyFont="1" applyBorder="1" applyAlignment="1">
      <alignment vertical="center" wrapText="1"/>
    </xf>
    <xf numFmtId="0" fontId="20" fillId="0" borderId="0" xfId="6" applyFont="1" applyBorder="1" applyAlignment="1">
      <alignment horizontal="center"/>
    </xf>
    <xf numFmtId="0" fontId="24" fillId="0" borderId="38" xfId="6" applyFont="1" applyBorder="1" applyAlignment="1">
      <alignment vertical="center" wrapText="1"/>
    </xf>
    <xf numFmtId="2" fontId="19" fillId="0" borderId="56" xfId="6" applyNumberFormat="1" applyFont="1" applyBorder="1" applyAlignment="1">
      <alignment horizontal="center" vertical="top" wrapText="1"/>
    </xf>
    <xf numFmtId="2" fontId="19" fillId="0" borderId="54" xfId="6" applyNumberFormat="1" applyBorder="1" applyAlignment="1">
      <alignment horizontal="center"/>
    </xf>
    <xf numFmtId="2" fontId="19" fillId="0" borderId="56" xfId="6" applyNumberFormat="1" applyBorder="1" applyAlignment="1">
      <alignment horizontal="center"/>
    </xf>
    <xf numFmtId="2" fontId="19" fillId="0" borderId="53" xfId="6" applyNumberFormat="1" applyBorder="1" applyAlignment="1">
      <alignment horizontal="center"/>
    </xf>
    <xf numFmtId="2" fontId="19" fillId="0" borderId="57" xfId="6" applyNumberFormat="1" applyBorder="1" applyAlignment="1">
      <alignment horizontal="center"/>
    </xf>
    <xf numFmtId="2" fontId="19" fillId="10" borderId="58" xfId="6" applyNumberFormat="1" applyFill="1" applyBorder="1" applyAlignment="1">
      <alignment horizontal="right"/>
    </xf>
    <xf numFmtId="2" fontId="19" fillId="0" borderId="53" xfId="6" applyNumberFormat="1" applyFill="1" applyBorder="1"/>
    <xf numFmtId="0" fontId="19" fillId="0" borderId="54" xfId="6" applyFill="1" applyBorder="1" applyAlignment="1">
      <alignment horizontal="center"/>
    </xf>
    <xf numFmtId="2" fontId="19" fillId="0" borderId="59" xfId="6" applyNumberFormat="1" applyBorder="1" applyAlignment="1">
      <alignment horizontal="right"/>
    </xf>
    <xf numFmtId="2" fontId="19" fillId="0" borderId="60" xfId="6" applyNumberFormat="1" applyBorder="1"/>
    <xf numFmtId="167" fontId="19" fillId="0" borderId="61" xfId="6" applyNumberFormat="1" applyBorder="1" applyAlignment="1">
      <alignment horizontal="center"/>
    </xf>
    <xf numFmtId="167" fontId="19" fillId="0" borderId="62" xfId="6" applyNumberFormat="1" applyBorder="1" applyAlignment="1">
      <alignment horizontal="center"/>
    </xf>
    <xf numFmtId="2" fontId="19" fillId="0" borderId="63" xfId="6" applyNumberFormat="1" applyFont="1" applyBorder="1" applyAlignment="1">
      <alignment horizontal="center" vertical="top" wrapText="1"/>
    </xf>
    <xf numFmtId="2" fontId="19" fillId="0" borderId="61" xfId="6" applyNumberFormat="1" applyBorder="1"/>
    <xf numFmtId="2" fontId="19" fillId="0" borderId="62" xfId="6" applyNumberFormat="1" applyBorder="1" applyAlignment="1">
      <alignment horizontal="center"/>
    </xf>
    <xf numFmtId="2" fontId="19" fillId="0" borderId="63" xfId="6" applyNumberFormat="1" applyBorder="1" applyAlignment="1">
      <alignment horizontal="center"/>
    </xf>
    <xf numFmtId="2" fontId="19" fillId="0" borderId="61" xfId="6" applyNumberFormat="1" applyBorder="1" applyAlignment="1">
      <alignment horizontal="center"/>
    </xf>
    <xf numFmtId="2" fontId="19" fillId="0" borderId="64" xfId="6" applyNumberFormat="1" applyBorder="1" applyAlignment="1">
      <alignment horizontal="center"/>
    </xf>
    <xf numFmtId="2" fontId="19" fillId="0" borderId="65" xfId="6" applyNumberFormat="1" applyBorder="1" applyAlignment="1">
      <alignment horizontal="center"/>
    </xf>
    <xf numFmtId="2" fontId="19" fillId="0" borderId="60" xfId="6" applyNumberFormat="1" applyBorder="1" applyAlignment="1">
      <alignment horizontal="center"/>
    </xf>
    <xf numFmtId="0" fontId="19" fillId="0" borderId="61" xfId="6" applyBorder="1" applyAlignment="1">
      <alignment horizontal="center"/>
    </xf>
    <xf numFmtId="2" fontId="19" fillId="0" borderId="66" xfId="6" applyNumberFormat="1" applyBorder="1"/>
    <xf numFmtId="2" fontId="19" fillId="0" borderId="61" xfId="6" applyNumberFormat="1" applyFill="1" applyBorder="1"/>
    <xf numFmtId="0" fontId="19" fillId="0" borderId="62" xfId="6" applyFill="1" applyBorder="1" applyAlignment="1">
      <alignment horizontal="center"/>
    </xf>
    <xf numFmtId="165" fontId="19" fillId="0" borderId="0" xfId="6" applyNumberFormat="1" applyFill="1" applyBorder="1" applyAlignment="1"/>
    <xf numFmtId="0" fontId="20" fillId="0" borderId="0" xfId="6" applyFont="1" applyAlignment="1">
      <alignment horizontal="left" vertical="top"/>
    </xf>
    <xf numFmtId="0" fontId="19" fillId="0" borderId="0" xfId="6" applyFont="1" applyAlignment="1">
      <alignment vertical="top" wrapText="1"/>
    </xf>
    <xf numFmtId="0" fontId="19" fillId="0" borderId="0" xfId="6" applyFont="1"/>
    <xf numFmtId="0" fontId="19" fillId="0" borderId="0" xfId="6" applyFont="1" applyFill="1" applyBorder="1"/>
    <xf numFmtId="0" fontId="19" fillId="0" borderId="0" xfId="6" applyAlignment="1">
      <alignment horizontal="justify" vertical="top" wrapText="1"/>
    </xf>
    <xf numFmtId="165" fontId="19" fillId="0" borderId="0" xfId="6" applyNumberFormat="1" applyFill="1" applyBorder="1"/>
    <xf numFmtId="11" fontId="19" fillId="0" borderId="0" xfId="6" applyNumberFormat="1" applyFill="1" applyBorder="1"/>
    <xf numFmtId="167" fontId="19" fillId="0" borderId="67" xfId="6" applyNumberFormat="1" applyBorder="1" applyAlignment="1">
      <alignment horizontal="center"/>
    </xf>
    <xf numFmtId="167" fontId="19" fillId="0" borderId="68" xfId="6" applyNumberFormat="1" applyBorder="1" applyAlignment="1">
      <alignment horizontal="center"/>
    </xf>
    <xf numFmtId="2" fontId="19" fillId="0" borderId="69" xfId="6" applyNumberFormat="1" applyFont="1" applyBorder="1" applyAlignment="1">
      <alignment horizontal="center" vertical="top" wrapText="1"/>
    </xf>
    <xf numFmtId="2" fontId="19" fillId="0" borderId="67" xfId="6" applyNumberFormat="1" applyBorder="1"/>
    <xf numFmtId="2" fontId="19" fillId="0" borderId="68" xfId="6" applyNumberFormat="1" applyBorder="1" applyAlignment="1">
      <alignment horizontal="center"/>
    </xf>
    <xf numFmtId="2" fontId="19" fillId="0" borderId="70" xfId="6" applyNumberFormat="1" applyBorder="1" applyAlignment="1">
      <alignment horizontal="center"/>
    </xf>
    <xf numFmtId="2" fontId="19" fillId="0" borderId="67" xfId="6" applyNumberFormat="1" applyBorder="1" applyAlignment="1">
      <alignment horizontal="center"/>
    </xf>
    <xf numFmtId="0" fontId="19" fillId="0" borderId="60" xfId="6" applyBorder="1" applyAlignment="1">
      <alignment horizontal="center"/>
    </xf>
    <xf numFmtId="2" fontId="19" fillId="0" borderId="60" xfId="6" applyNumberFormat="1" applyFill="1" applyBorder="1"/>
    <xf numFmtId="0" fontId="19" fillId="0" borderId="66" xfId="6" applyFill="1" applyBorder="1" applyAlignment="1">
      <alignment horizontal="center"/>
    </xf>
    <xf numFmtId="0" fontId="19" fillId="0" borderId="0" xfId="6" applyFill="1" applyBorder="1" applyAlignment="1">
      <alignment horizontal="center" vertical="center"/>
    </xf>
    <xf numFmtId="0" fontId="19" fillId="0" borderId="0" xfId="6" applyFill="1" applyBorder="1" applyAlignment="1">
      <alignment vertical="center"/>
    </xf>
    <xf numFmtId="0" fontId="19" fillId="0" borderId="58" xfId="6" applyBorder="1" applyAlignment="1">
      <alignment horizontal="center" vertical="center"/>
    </xf>
    <xf numFmtId="0" fontId="19" fillId="0" borderId="60" xfId="6" applyBorder="1" applyAlignment="1">
      <alignment horizontal="center" vertical="center"/>
    </xf>
    <xf numFmtId="0" fontId="19" fillId="0" borderId="0" xfId="6" applyFill="1" applyBorder="1" applyAlignment="1">
      <alignment vertical="center" wrapText="1"/>
    </xf>
    <xf numFmtId="0" fontId="19" fillId="11" borderId="48" xfId="6" applyFill="1" applyBorder="1" applyAlignment="1">
      <alignment horizontal="center" vertical="center"/>
    </xf>
    <xf numFmtId="0" fontId="19" fillId="11" borderId="1" xfId="6" applyFill="1" applyBorder="1" applyAlignment="1">
      <alignment horizontal="center" vertical="center"/>
    </xf>
    <xf numFmtId="0" fontId="19" fillId="11" borderId="42" xfId="6" applyFill="1" applyBorder="1" applyAlignment="1">
      <alignment horizontal="center" vertical="center"/>
    </xf>
    <xf numFmtId="0" fontId="19" fillId="12" borderId="15" xfId="6" applyFill="1" applyBorder="1" applyAlignment="1">
      <alignment horizontal="center" vertical="center"/>
    </xf>
    <xf numFmtId="0" fontId="19" fillId="12" borderId="26" xfId="6" applyFill="1" applyBorder="1" applyAlignment="1">
      <alignment horizontal="center" vertical="center"/>
    </xf>
    <xf numFmtId="0" fontId="9" fillId="0" borderId="0" xfId="6" applyFont="1" applyFill="1" applyBorder="1" applyAlignment="1">
      <alignment horizontal="center" vertical="center"/>
    </xf>
    <xf numFmtId="0" fontId="20" fillId="0" borderId="0" xfId="6" applyFont="1" applyBorder="1" applyAlignment="1">
      <alignment vertical="center" wrapText="1"/>
    </xf>
    <xf numFmtId="165" fontId="19" fillId="0" borderId="0" xfId="6" applyNumberFormat="1" applyFill="1" applyBorder="1" applyAlignment="1">
      <alignment horizontal="center" vertical="center"/>
    </xf>
    <xf numFmtId="0" fontId="19" fillId="14" borderId="52" xfId="6" applyFill="1" applyBorder="1" applyAlignment="1">
      <alignment horizontal="center"/>
    </xf>
    <xf numFmtId="0" fontId="19" fillId="14" borderId="54" xfId="6" applyFill="1" applyBorder="1" applyAlignment="1">
      <alignment horizontal="center"/>
    </xf>
    <xf numFmtId="0" fontId="19" fillId="0" borderId="0" xfId="6" applyFill="1"/>
    <xf numFmtId="0" fontId="19" fillId="0" borderId="0" xfId="6" applyFill="1" applyAlignment="1"/>
    <xf numFmtId="0" fontId="19" fillId="0" borderId="71" xfId="6" applyFill="1" applyBorder="1" applyAlignment="1"/>
    <xf numFmtId="165" fontId="19" fillId="0" borderId="72" xfId="6" applyNumberFormat="1" applyFill="1" applyBorder="1" applyAlignment="1"/>
    <xf numFmtId="165" fontId="19" fillId="0" borderId="72" xfId="6" applyNumberFormat="1" applyFill="1" applyBorder="1" applyAlignment="1">
      <alignment horizontal="center" vertical="center"/>
    </xf>
    <xf numFmtId="0" fontId="19" fillId="0" borderId="72" xfId="6" applyFill="1" applyBorder="1" applyAlignment="1">
      <alignment vertical="center" wrapText="1"/>
    </xf>
    <xf numFmtId="0" fontId="19" fillId="0" borderId="72" xfId="6" applyFill="1" applyBorder="1" applyAlignment="1">
      <alignment horizontal="center"/>
    </xf>
    <xf numFmtId="167" fontId="19" fillId="0" borderId="73" xfId="6" applyNumberFormat="1" applyBorder="1"/>
    <xf numFmtId="0" fontId="19" fillId="0" borderId="58" xfId="6" applyBorder="1" applyAlignment="1">
      <alignment horizontal="center"/>
    </xf>
    <xf numFmtId="0" fontId="19" fillId="0" borderId="66" xfId="6" applyBorder="1" applyAlignment="1">
      <alignment horizontal="center"/>
    </xf>
    <xf numFmtId="0" fontId="19" fillId="0" borderId="74" xfId="6" applyFill="1" applyBorder="1" applyAlignment="1"/>
    <xf numFmtId="2" fontId="19" fillId="0" borderId="75" xfId="6" applyNumberFormat="1" applyBorder="1"/>
    <xf numFmtId="0" fontId="19" fillId="0" borderId="0" xfId="6" applyFill="1" applyBorder="1" applyAlignment="1"/>
    <xf numFmtId="167" fontId="19" fillId="0" borderId="75" xfId="6" applyNumberFormat="1" applyBorder="1"/>
    <xf numFmtId="0" fontId="19" fillId="0" borderId="74" xfId="6" applyBorder="1" applyAlignment="1"/>
    <xf numFmtId="165" fontId="19" fillId="0" borderId="0" xfId="6" applyNumberFormat="1" applyFill="1" applyBorder="1" applyAlignment="1">
      <alignment horizontal="center"/>
    </xf>
    <xf numFmtId="165" fontId="19" fillId="0" borderId="0" xfId="6" quotePrefix="1" applyNumberFormat="1" applyFill="1" applyBorder="1" applyAlignment="1"/>
    <xf numFmtId="0" fontId="19" fillId="14" borderId="36" xfId="6" applyFill="1" applyBorder="1" applyAlignment="1">
      <alignment horizontal="center"/>
    </xf>
    <xf numFmtId="0" fontId="19" fillId="14" borderId="78" xfId="6" applyFill="1" applyBorder="1" applyAlignment="1">
      <alignment horizontal="center"/>
    </xf>
    <xf numFmtId="0" fontId="19" fillId="14" borderId="56" xfId="6" applyFill="1" applyBorder="1" applyAlignment="1">
      <alignment horizontal="center"/>
    </xf>
    <xf numFmtId="0" fontId="19" fillId="8" borderId="41" xfId="6" applyFill="1" applyBorder="1" applyAlignment="1">
      <alignment horizontal="center"/>
    </xf>
    <xf numFmtId="0" fontId="19" fillId="8" borderId="47" xfId="6" applyFill="1" applyBorder="1" applyAlignment="1">
      <alignment horizontal="center"/>
    </xf>
    <xf numFmtId="0" fontId="19" fillId="8" borderId="40" xfId="6" applyFill="1" applyBorder="1" applyAlignment="1">
      <alignment horizontal="center"/>
    </xf>
    <xf numFmtId="167" fontId="19" fillId="0" borderId="0" xfId="6" applyNumberFormat="1" applyBorder="1"/>
    <xf numFmtId="165" fontId="19" fillId="0" borderId="0" xfId="6" applyNumberFormat="1" applyFill="1" applyBorder="1" applyAlignment="1">
      <alignment horizontal="center" vertical="center" wrapText="1"/>
    </xf>
    <xf numFmtId="2" fontId="21" fillId="0" borderId="75" xfId="6" applyNumberFormat="1" applyFont="1" applyBorder="1"/>
    <xf numFmtId="0" fontId="19" fillId="0" borderId="63" xfId="6" applyBorder="1" applyAlignment="1">
      <alignment horizontal="center"/>
    </xf>
    <xf numFmtId="0" fontId="19" fillId="0" borderId="80" xfId="6" applyBorder="1" applyAlignment="1">
      <alignment horizontal="center"/>
    </xf>
    <xf numFmtId="0" fontId="19" fillId="0" borderId="61" xfId="6" applyBorder="1" applyAlignment="1">
      <alignment horizontal="center" vertical="center"/>
    </xf>
    <xf numFmtId="0" fontId="19" fillId="0" borderId="81" xfId="6" applyBorder="1" applyAlignment="1">
      <alignment horizontal="center"/>
    </xf>
    <xf numFmtId="0" fontId="19" fillId="0" borderId="66" xfId="6" applyBorder="1" applyAlignment="1">
      <alignment horizontal="center" vertical="center"/>
    </xf>
    <xf numFmtId="0" fontId="19" fillId="0" borderId="0" xfId="6" applyAlignment="1">
      <alignment vertical="center"/>
    </xf>
    <xf numFmtId="0" fontId="19" fillId="0" borderId="82" xfId="6" applyBorder="1" applyAlignment="1"/>
    <xf numFmtId="165" fontId="19" fillId="0" borderId="83" xfId="6" applyNumberFormat="1" applyFill="1" applyBorder="1" applyAlignment="1">
      <alignment vertical="center"/>
    </xf>
    <xf numFmtId="2" fontId="19" fillId="0" borderId="83" xfId="6" applyNumberFormat="1" applyFont="1" applyBorder="1" applyAlignment="1">
      <alignment horizontal="center" vertical="top" wrapText="1"/>
    </xf>
    <xf numFmtId="2" fontId="19" fillId="0" borderId="83" xfId="6" applyNumberFormat="1" applyBorder="1"/>
    <xf numFmtId="0" fontId="19" fillId="0" borderId="83" xfId="6" applyBorder="1" applyAlignment="1">
      <alignment vertical="center"/>
    </xf>
    <xf numFmtId="165" fontId="19" fillId="0" borderId="83" xfId="6" applyNumberFormat="1" applyFill="1" applyBorder="1" applyAlignment="1">
      <alignment horizontal="center" vertical="center" wrapText="1"/>
    </xf>
    <xf numFmtId="0" fontId="19" fillId="0" borderId="83" xfId="6" applyFill="1" applyBorder="1" applyAlignment="1">
      <alignment vertical="center" wrapText="1"/>
    </xf>
    <xf numFmtId="2" fontId="21" fillId="0" borderId="84" xfId="6" applyNumberFormat="1" applyFont="1" applyBorder="1"/>
    <xf numFmtId="0" fontId="19" fillId="0" borderId="71" xfId="6" applyBorder="1" applyAlignment="1"/>
    <xf numFmtId="167" fontId="19" fillId="0" borderId="72" xfId="6" applyNumberFormat="1" applyBorder="1"/>
    <xf numFmtId="165" fontId="19" fillId="0" borderId="72" xfId="6" applyNumberFormat="1" applyFill="1" applyBorder="1"/>
    <xf numFmtId="0" fontId="19" fillId="0" borderId="72" xfId="6" applyBorder="1"/>
    <xf numFmtId="0" fontId="19" fillId="0" borderId="73" xfId="6" applyBorder="1"/>
    <xf numFmtId="0" fontId="19" fillId="0" borderId="0" xfId="6" applyBorder="1" applyAlignment="1"/>
    <xf numFmtId="165" fontId="19" fillId="0" borderId="0" xfId="6" applyNumberFormat="1" applyBorder="1"/>
    <xf numFmtId="0" fontId="19" fillId="0" borderId="75" xfId="6" applyBorder="1"/>
    <xf numFmtId="0" fontId="19" fillId="8" borderId="52" xfId="6" applyFill="1" applyBorder="1" applyAlignment="1">
      <alignment horizontal="center"/>
    </xf>
    <xf numFmtId="0" fontId="19" fillId="8" borderId="53" xfId="6" applyFill="1" applyBorder="1" applyAlignment="1">
      <alignment horizontal="center"/>
    </xf>
    <xf numFmtId="0" fontId="19" fillId="14" borderId="53" xfId="6" applyFill="1" applyBorder="1" applyAlignment="1">
      <alignment horizontal="center"/>
    </xf>
    <xf numFmtId="0" fontId="19" fillId="0" borderId="59" xfId="6" applyBorder="1" applyAlignment="1">
      <alignment horizontal="center"/>
    </xf>
    <xf numFmtId="0" fontId="21" fillId="0" borderId="75" xfId="6" applyFont="1" applyBorder="1"/>
    <xf numFmtId="0" fontId="19" fillId="0" borderId="83" xfId="6" applyBorder="1" applyAlignment="1"/>
    <xf numFmtId="0" fontId="19" fillId="0" borderId="83" xfId="6" applyBorder="1"/>
    <xf numFmtId="167" fontId="19" fillId="0" borderId="83" xfId="6" applyNumberFormat="1" applyBorder="1"/>
    <xf numFmtId="0" fontId="21" fillId="0" borderId="84" xfId="6" applyFont="1" applyBorder="1"/>
    <xf numFmtId="0" fontId="20" fillId="0" borderId="84" xfId="6" applyFont="1" applyBorder="1"/>
    <xf numFmtId="0" fontId="1" fillId="0" borderId="0" xfId="6" applyFont="1" applyAlignment="1"/>
    <xf numFmtId="0" fontId="1" fillId="0" borderId="0" xfId="6" applyFont="1"/>
    <xf numFmtId="0" fontId="1" fillId="0" borderId="0" xfId="6" applyFont="1" applyFill="1" applyBorder="1"/>
    <xf numFmtId="0" fontId="1" fillId="0" borderId="0" xfId="6" applyFont="1" applyAlignment="1">
      <alignment vertical="top" wrapText="1"/>
    </xf>
    <xf numFmtId="0" fontId="8" fillId="0" borderId="0" xfId="6" applyFont="1" applyAlignment="1"/>
    <xf numFmtId="0" fontId="8" fillId="0" borderId="0" xfId="6" applyFont="1" applyAlignment="1">
      <alignment vertical="top" wrapText="1"/>
    </xf>
    <xf numFmtId="0" fontId="15" fillId="0" borderId="0" xfId="6" applyFont="1" applyAlignment="1"/>
    <xf numFmtId="0" fontId="8" fillId="0" borderId="0" xfId="6" applyFont="1" applyAlignment="1">
      <alignment vertical="top"/>
    </xf>
    <xf numFmtId="167" fontId="1" fillId="0" borderId="0" xfId="6" applyNumberFormat="1" applyFont="1" applyFill="1" applyBorder="1"/>
    <xf numFmtId="0" fontId="1" fillId="0" borderId="0" xfId="6" applyFont="1" applyFill="1" applyBorder="1" applyAlignment="1"/>
    <xf numFmtId="0" fontId="1" fillId="0" borderId="0" xfId="6" applyFont="1" applyBorder="1"/>
    <xf numFmtId="0" fontId="1" fillId="0" borderId="66" xfId="6" applyFont="1" applyBorder="1" applyAlignment="1">
      <alignment horizontal="center" vertical="center"/>
    </xf>
    <xf numFmtId="0" fontId="1" fillId="0" borderId="61" xfId="6" applyFont="1" applyBorder="1" applyAlignment="1">
      <alignment horizontal="center" vertical="center"/>
    </xf>
    <xf numFmtId="0" fontId="1" fillId="0" borderId="81" xfId="6" applyFont="1" applyBorder="1" applyAlignment="1">
      <alignment horizontal="center"/>
    </xf>
    <xf numFmtId="165" fontId="1" fillId="0" borderId="0" xfId="6" applyNumberFormat="1" applyFont="1" applyFill="1" applyBorder="1" applyAlignment="1"/>
    <xf numFmtId="0" fontId="1" fillId="8" borderId="54" xfId="6" applyFont="1" applyFill="1" applyBorder="1" applyAlignment="1">
      <alignment horizontal="center"/>
    </xf>
    <xf numFmtId="0" fontId="1" fillId="0" borderId="0" xfId="6" applyFont="1" applyFill="1" applyBorder="1" applyAlignment="1">
      <alignment horizontal="center"/>
    </xf>
    <xf numFmtId="0" fontId="1" fillId="0" borderId="0" xfId="6" applyFont="1" applyFill="1" applyBorder="1" applyAlignment="1">
      <alignment vertical="center" wrapText="1"/>
    </xf>
    <xf numFmtId="0" fontId="1" fillId="0" borderId="0" xfId="6" applyFont="1" applyFill="1" applyBorder="1" applyAlignment="1">
      <alignment vertical="center"/>
    </xf>
    <xf numFmtId="2" fontId="1" fillId="0" borderId="0" xfId="6" applyNumberFormat="1" applyFont="1" applyFill="1" applyBorder="1"/>
    <xf numFmtId="165" fontId="1" fillId="0" borderId="0" xfId="6" applyNumberFormat="1" applyFont="1" applyFill="1" applyBorder="1" applyAlignment="1">
      <alignment horizontal="center" vertical="center"/>
    </xf>
    <xf numFmtId="0" fontId="1" fillId="0" borderId="0" xfId="6" applyFont="1" applyFill="1" applyBorder="1" applyAlignment="1">
      <alignment horizontal="center" vertical="center"/>
    </xf>
    <xf numFmtId="0" fontId="1" fillId="0" borderId="0" xfId="6" applyFont="1" applyAlignment="1">
      <alignment horizontal="center"/>
    </xf>
    <xf numFmtId="0" fontId="1" fillId="0" borderId="0" xfId="6" applyFont="1" applyBorder="1" applyAlignment="1">
      <alignment horizontal="center"/>
    </xf>
    <xf numFmtId="0" fontId="1" fillId="12" borderId="26" xfId="6" applyFont="1" applyFill="1" applyBorder="1" applyAlignment="1">
      <alignment horizontal="center" vertical="center"/>
    </xf>
    <xf numFmtId="0" fontId="1" fillId="0" borderId="0" xfId="6" applyFont="1" applyBorder="1" applyAlignment="1">
      <alignment horizontal="center" vertical="center"/>
    </xf>
    <xf numFmtId="0" fontId="1" fillId="12" borderId="15" xfId="6" applyFont="1" applyFill="1" applyBorder="1" applyAlignment="1">
      <alignment horizontal="center" vertical="center"/>
    </xf>
    <xf numFmtId="0" fontId="1" fillId="0" borderId="33" xfId="6" applyFont="1" applyBorder="1" applyAlignment="1">
      <alignment horizontal="center" vertical="center"/>
    </xf>
    <xf numFmtId="0" fontId="1" fillId="0" borderId="15" xfId="6" applyFont="1" applyBorder="1" applyAlignment="1">
      <alignment horizontal="center" vertical="center"/>
    </xf>
    <xf numFmtId="0" fontId="1" fillId="0" borderId="34" xfId="6" applyFont="1" applyBorder="1" applyAlignment="1">
      <alignment horizontal="center" vertical="center"/>
    </xf>
    <xf numFmtId="0" fontId="1" fillId="0" borderId="29" xfId="6" applyFont="1" applyBorder="1" applyAlignment="1">
      <alignment horizontal="center" vertical="center"/>
    </xf>
    <xf numFmtId="0" fontId="1" fillId="0" borderId="1" xfId="6" applyFont="1" applyBorder="1" applyAlignment="1">
      <alignment horizontal="center" vertical="center"/>
    </xf>
    <xf numFmtId="2" fontId="1" fillId="10" borderId="58" xfId="6" applyNumberFormat="1" applyFont="1" applyFill="1" applyBorder="1" applyAlignment="1">
      <alignment horizontal="right"/>
    </xf>
    <xf numFmtId="2" fontId="1" fillId="0" borderId="0" xfId="6" applyNumberFormat="1" applyFont="1" applyBorder="1" applyAlignment="1">
      <alignment horizontal="center"/>
    </xf>
    <xf numFmtId="11" fontId="1" fillId="0" borderId="0" xfId="6" applyNumberFormat="1" applyFont="1" applyFill="1" applyBorder="1"/>
    <xf numFmtId="165" fontId="1" fillId="0" borderId="0" xfId="6" applyNumberFormat="1" applyFont="1" applyFill="1" applyBorder="1"/>
    <xf numFmtId="0" fontId="1" fillId="0" borderId="0" xfId="6" applyFont="1" applyFill="1" applyAlignment="1">
      <alignment horizontal="center"/>
    </xf>
    <xf numFmtId="0" fontId="25" fillId="0" borderId="38" xfId="6" applyFont="1" applyFill="1" applyBorder="1" applyAlignment="1">
      <alignment vertical="center" wrapText="1"/>
    </xf>
    <xf numFmtId="0" fontId="1" fillId="0" borderId="38" xfId="6" applyFont="1" applyBorder="1" applyAlignment="1">
      <alignment vertical="center" wrapText="1"/>
    </xf>
    <xf numFmtId="2" fontId="1" fillId="0" borderId="0" xfId="6" applyNumberFormat="1" applyFont="1" applyBorder="1"/>
    <xf numFmtId="0" fontId="27" fillId="0" borderId="0" xfId="6" applyFont="1" applyBorder="1" applyAlignment="1">
      <alignment vertical="center" wrapText="1"/>
    </xf>
    <xf numFmtId="0" fontId="1" fillId="0" borderId="0" xfId="6" applyFont="1" applyAlignment="1">
      <alignment vertical="center" wrapText="1"/>
    </xf>
    <xf numFmtId="0" fontId="14" fillId="0" borderId="0" xfId="6" applyFont="1" applyAlignment="1"/>
    <xf numFmtId="0" fontId="14" fillId="0" borderId="0" xfId="6" applyFont="1" applyBorder="1" applyAlignment="1"/>
    <xf numFmtId="0" fontId="25" fillId="0" borderId="0" xfId="6" applyFont="1" applyAlignment="1">
      <alignment vertical="center"/>
    </xf>
    <xf numFmtId="0" fontId="1" fillId="12" borderId="25" xfId="6" applyFont="1" applyFill="1" applyBorder="1" applyAlignment="1">
      <alignment horizontal="center" vertical="center"/>
    </xf>
    <xf numFmtId="167" fontId="1" fillId="0" borderId="0" xfId="6" applyNumberFormat="1" applyFont="1"/>
    <xf numFmtId="2" fontId="1" fillId="0" borderId="0" xfId="6" applyNumberFormat="1" applyFont="1" applyFill="1" applyBorder="1" applyAlignment="1">
      <alignment horizontal="right"/>
    </xf>
    <xf numFmtId="167" fontId="1" fillId="0" borderId="0" xfId="6" applyNumberFormat="1" applyFont="1" applyBorder="1" applyAlignment="1">
      <alignment horizontal="center"/>
    </xf>
    <xf numFmtId="0" fontId="28" fillId="0" borderId="0" xfId="6" applyFont="1" applyBorder="1" applyAlignment="1"/>
    <xf numFmtId="0" fontId="14" fillId="0" borderId="0" xfId="6" applyFont="1" applyBorder="1" applyAlignment="1">
      <alignment horizontal="left"/>
    </xf>
    <xf numFmtId="0" fontId="14" fillId="0" borderId="0" xfId="6" quotePrefix="1" applyFont="1" applyBorder="1" applyAlignment="1">
      <alignment vertical="center" wrapText="1"/>
    </xf>
    <xf numFmtId="0" fontId="26" fillId="0" borderId="0" xfId="6" applyFont="1" applyAlignment="1"/>
    <xf numFmtId="0" fontId="1" fillId="0" borderId="0" xfId="6" applyFont="1" applyBorder="1" applyAlignment="1"/>
    <xf numFmtId="0" fontId="1" fillId="0" borderId="0" xfId="6" applyFont="1" applyBorder="1" applyAlignment="1">
      <alignment horizontal="left"/>
    </xf>
    <xf numFmtId="2" fontId="1" fillId="0" borderId="0" xfId="6" applyNumberFormat="1" applyFont="1" applyBorder="1" applyAlignment="1">
      <alignment horizontal="right"/>
    </xf>
    <xf numFmtId="0" fontId="25" fillId="0" borderId="0" xfId="6" applyFont="1" applyFill="1" applyBorder="1" applyAlignment="1">
      <alignment vertical="center" wrapText="1"/>
    </xf>
    <xf numFmtId="0" fontId="25" fillId="0" borderId="0" xfId="6" applyFont="1" applyAlignment="1">
      <alignment vertical="center" wrapText="1"/>
    </xf>
    <xf numFmtId="0" fontId="1" fillId="0" borderId="0" xfId="6" quotePrefix="1" applyFont="1" applyBorder="1" applyAlignment="1">
      <alignment vertical="top" wrapText="1"/>
    </xf>
    <xf numFmtId="0" fontId="1" fillId="0" borderId="0" xfId="6" quotePrefix="1" applyFont="1" applyBorder="1" applyAlignment="1">
      <alignment horizontal="left"/>
    </xf>
    <xf numFmtId="0" fontId="29" fillId="0" borderId="0" xfId="6" quotePrefix="1" applyFont="1" applyAlignment="1">
      <alignment vertical="center" wrapText="1"/>
    </xf>
    <xf numFmtId="0" fontId="1" fillId="0" borderId="0" xfId="6" applyFont="1" applyAlignment="1">
      <alignment horizontal="left"/>
    </xf>
    <xf numFmtId="0" fontId="1" fillId="0" borderId="0" xfId="6" applyFont="1" applyFill="1" applyBorder="1" applyAlignment="1">
      <alignment horizontal="right" vertical="center" wrapText="1"/>
    </xf>
    <xf numFmtId="0" fontId="14" fillId="0" borderId="0" xfId="6" quotePrefix="1" applyFont="1" applyBorder="1" applyAlignment="1">
      <alignment vertical="top" wrapText="1"/>
    </xf>
    <xf numFmtId="0" fontId="1" fillId="0" borderId="0" xfId="6" applyFont="1" applyAlignment="1">
      <alignment horizontal="right" vertical="center" wrapText="1"/>
    </xf>
    <xf numFmtId="0" fontId="1" fillId="0" borderId="0" xfId="6" applyFont="1" applyAlignment="1">
      <alignment horizontal="left" vertical="center" wrapText="1"/>
    </xf>
    <xf numFmtId="0" fontId="14" fillId="0" borderId="0" xfId="6" applyFont="1" applyAlignment="1">
      <alignment vertical="top" wrapText="1"/>
    </xf>
    <xf numFmtId="0" fontId="1" fillId="0" borderId="0" xfId="6" quotePrefix="1" applyFont="1" applyBorder="1" applyAlignment="1"/>
    <xf numFmtId="0" fontId="1" fillId="0" borderId="0" xfId="6" quotePrefix="1" applyFont="1" applyAlignment="1">
      <alignment horizontal="left" vertical="top" wrapText="1"/>
    </xf>
    <xf numFmtId="0" fontId="25" fillId="0" borderId="0" xfId="6" applyFont="1" applyBorder="1" applyAlignment="1">
      <alignment vertical="top" wrapText="1"/>
    </xf>
    <xf numFmtId="0" fontId="25" fillId="0" borderId="0" xfId="6" applyFont="1" applyBorder="1" applyAlignment="1">
      <alignment horizontal="left" vertical="top" wrapText="1"/>
    </xf>
    <xf numFmtId="0" fontId="1" fillId="0" borderId="0" xfId="6" applyFont="1" applyAlignment="1">
      <alignment horizontal="left" vertical="top" wrapText="1"/>
    </xf>
    <xf numFmtId="0" fontId="1" fillId="0" borderId="0" xfId="6" applyFont="1" applyBorder="1" applyAlignment="1">
      <alignment vertical="top" wrapText="1"/>
    </xf>
    <xf numFmtId="0" fontId="1" fillId="0" borderId="0" xfId="6" applyFont="1" applyAlignment="1">
      <alignment wrapText="1"/>
    </xf>
    <xf numFmtId="0" fontId="14" fillId="0" borderId="0" xfId="6" applyFont="1" applyBorder="1" applyAlignment="1">
      <alignment vertical="center" wrapText="1"/>
    </xf>
    <xf numFmtId="1" fontId="1" fillId="8" borderId="47" xfId="6" applyNumberFormat="1" applyFont="1" applyFill="1" applyBorder="1" applyAlignment="1">
      <alignment horizontal="center"/>
    </xf>
    <xf numFmtId="1" fontId="1" fillId="8" borderId="40" xfId="6" applyNumberFormat="1" applyFont="1" applyFill="1" applyBorder="1" applyAlignment="1">
      <alignment horizontal="center"/>
    </xf>
    <xf numFmtId="0" fontId="31" fillId="0" borderId="61" xfId="6" applyFont="1" applyBorder="1" applyAlignment="1">
      <alignment horizontal="center" vertical="center"/>
    </xf>
    <xf numFmtId="0" fontId="31" fillId="0" borderId="80" xfId="6" applyFont="1" applyBorder="1" applyAlignment="1">
      <alignment horizontal="center"/>
    </xf>
    <xf numFmtId="0" fontId="31" fillId="0" borderId="66" xfId="6" applyFont="1" applyBorder="1" applyAlignment="1">
      <alignment horizontal="center"/>
    </xf>
    <xf numFmtId="0" fontId="31" fillId="0" borderId="58" xfId="6" applyFont="1" applyBorder="1" applyAlignment="1">
      <alignment horizontal="center"/>
    </xf>
    <xf numFmtId="0" fontId="31" fillId="0" borderId="79" xfId="6" applyFont="1" applyBorder="1" applyAlignment="1">
      <alignment horizontal="center"/>
    </xf>
    <xf numFmtId="0" fontId="31" fillId="0" borderId="63" xfId="6" applyFont="1" applyBorder="1" applyAlignment="1">
      <alignment horizontal="center"/>
    </xf>
    <xf numFmtId="1" fontId="31" fillId="8" borderId="47" xfId="6" applyNumberFormat="1" applyFont="1" applyFill="1" applyBorder="1" applyAlignment="1">
      <alignment horizontal="center"/>
    </xf>
    <xf numFmtId="1" fontId="31" fillId="8" borderId="41" xfId="6" applyNumberFormat="1" applyFont="1" applyFill="1" applyBorder="1" applyAlignment="1">
      <alignment horizontal="center"/>
    </xf>
    <xf numFmtId="0" fontId="31" fillId="14" borderId="54" xfId="6" applyFont="1" applyFill="1" applyBorder="1" applyAlignment="1">
      <alignment horizontal="center"/>
    </xf>
    <xf numFmtId="0" fontId="31" fillId="14" borderId="56" xfId="6" applyFont="1" applyFill="1" applyBorder="1" applyAlignment="1">
      <alignment horizontal="center"/>
    </xf>
    <xf numFmtId="0" fontId="31" fillId="14" borderId="78" xfId="6" applyFont="1" applyFill="1" applyBorder="1" applyAlignment="1">
      <alignment horizontal="center"/>
    </xf>
    <xf numFmtId="0" fontId="31" fillId="14" borderId="36" xfId="6" applyFont="1" applyFill="1" applyBorder="1" applyAlignment="1">
      <alignment horizontal="center"/>
    </xf>
    <xf numFmtId="0" fontId="1" fillId="0" borderId="64" xfId="6" applyFont="1" applyBorder="1" applyAlignment="1">
      <alignment horizontal="center" vertical="center"/>
    </xf>
    <xf numFmtId="0" fontId="1" fillId="8" borderId="35" xfId="6" applyFont="1" applyFill="1" applyBorder="1" applyAlignment="1">
      <alignment horizontal="center"/>
    </xf>
    <xf numFmtId="0" fontId="1" fillId="0" borderId="62" xfId="6" applyFont="1" applyBorder="1" applyAlignment="1">
      <alignment horizontal="center" vertical="center"/>
    </xf>
    <xf numFmtId="1" fontId="1" fillId="8" borderId="49" xfId="6" applyNumberFormat="1" applyFont="1" applyFill="1" applyBorder="1" applyAlignment="1">
      <alignment horizontal="center"/>
    </xf>
    <xf numFmtId="0" fontId="33" fillId="0" borderId="0" xfId="6" applyFont="1" applyBorder="1" applyAlignment="1">
      <alignment vertical="center"/>
    </xf>
    <xf numFmtId="0" fontId="31" fillId="13" borderId="28" xfId="6" applyFont="1" applyFill="1" applyBorder="1" applyAlignment="1">
      <alignment horizontal="center" vertical="center"/>
    </xf>
    <xf numFmtId="0" fontId="31" fillId="13" borderId="25" xfId="6" applyFont="1" applyFill="1" applyBorder="1" applyAlignment="1">
      <alignment horizontal="center" vertical="center"/>
    </xf>
    <xf numFmtId="0" fontId="31" fillId="14" borderId="52" xfId="6" applyFont="1" applyFill="1" applyBorder="1" applyAlignment="1">
      <alignment horizontal="center"/>
    </xf>
    <xf numFmtId="0" fontId="1" fillId="0" borderId="0" xfId="6" applyFont="1" applyFill="1" applyBorder="1" applyAlignment="1">
      <alignment horizontal="center" vertical="center" wrapText="1"/>
    </xf>
    <xf numFmtId="0" fontId="7" fillId="0" borderId="79" xfId="6" applyFont="1" applyBorder="1" applyAlignment="1">
      <alignment horizontal="center"/>
    </xf>
    <xf numFmtId="0" fontId="31" fillId="0" borderId="15" xfId="6" applyFont="1" applyBorder="1" applyAlignment="1">
      <alignment horizontal="center" vertical="center"/>
    </xf>
    <xf numFmtId="2" fontId="31" fillId="0" borderId="60" xfId="6" applyNumberFormat="1" applyFont="1" applyBorder="1"/>
    <xf numFmtId="2" fontId="31" fillId="0" borderId="53" xfId="6" applyNumberFormat="1" applyFont="1" applyBorder="1"/>
    <xf numFmtId="0" fontId="31" fillId="0" borderId="33" xfId="6" applyFont="1" applyBorder="1" applyAlignment="1">
      <alignment horizontal="center" vertical="center"/>
    </xf>
    <xf numFmtId="0" fontId="31" fillId="0" borderId="61" xfId="6" applyFont="1" applyBorder="1" applyAlignment="1">
      <alignment horizontal="center"/>
    </xf>
    <xf numFmtId="1" fontId="1" fillId="0" borderId="0" xfId="6" applyNumberFormat="1" applyFont="1" applyFill="1" applyBorder="1" applyAlignment="1">
      <alignment horizontal="center" vertical="center"/>
    </xf>
    <xf numFmtId="1" fontId="1" fillId="0" borderId="0" xfId="6" applyNumberFormat="1" applyFont="1" applyAlignment="1">
      <alignment horizontal="center" vertical="center"/>
    </xf>
    <xf numFmtId="1" fontId="1" fillId="0" borderId="53" xfId="6" applyNumberFormat="1" applyFont="1" applyBorder="1" applyAlignment="1">
      <alignment horizontal="center" vertical="center"/>
    </xf>
    <xf numFmtId="1" fontId="1" fillId="10" borderId="24" xfId="6" applyNumberFormat="1" applyFont="1" applyFill="1" applyBorder="1" applyAlignment="1">
      <alignment horizontal="center" vertical="center"/>
    </xf>
    <xf numFmtId="1" fontId="1" fillId="0" borderId="0" xfId="6" applyNumberFormat="1" applyFont="1" applyBorder="1" applyAlignment="1">
      <alignment horizontal="center" vertical="center"/>
    </xf>
    <xf numFmtId="1" fontId="31" fillId="0" borderId="47" xfId="6" applyNumberFormat="1" applyFont="1" applyBorder="1" applyAlignment="1">
      <alignment horizontal="center" vertical="center"/>
    </xf>
    <xf numFmtId="1" fontId="1" fillId="0" borderId="47" xfId="6" applyNumberFormat="1" applyFont="1" applyBorder="1" applyAlignment="1">
      <alignment horizontal="center" vertical="center"/>
    </xf>
    <xf numFmtId="1" fontId="31" fillId="0" borderId="53" xfId="6" applyNumberFormat="1" applyFont="1" applyBorder="1" applyAlignment="1">
      <alignment horizontal="center" vertical="center"/>
    </xf>
    <xf numFmtId="1" fontId="1" fillId="0" borderId="23" xfId="6" applyNumberFormat="1" applyFont="1" applyBorder="1" applyAlignment="1">
      <alignment horizontal="center" vertical="center"/>
    </xf>
    <xf numFmtId="1" fontId="1" fillId="0" borderId="24" xfId="6" applyNumberFormat="1" applyFont="1" applyBorder="1" applyAlignment="1">
      <alignment horizontal="center" vertical="center"/>
    </xf>
    <xf numFmtId="1" fontId="1" fillId="0" borderId="27" xfId="6" applyNumberFormat="1" applyFont="1" applyBorder="1" applyAlignment="1">
      <alignment horizontal="center" vertical="center"/>
    </xf>
    <xf numFmtId="1" fontId="1" fillId="0" borderId="31" xfId="6" applyNumberFormat="1" applyFont="1" applyBorder="1" applyAlignment="1">
      <alignment horizontal="center" vertical="center"/>
    </xf>
    <xf numFmtId="1" fontId="31" fillId="0" borderId="60" xfId="6" applyNumberFormat="1" applyFont="1" applyBorder="1" applyAlignment="1">
      <alignment horizontal="center" vertical="center"/>
    </xf>
    <xf numFmtId="0" fontId="31" fillId="0" borderId="60" xfId="6" applyFont="1" applyBorder="1" applyAlignment="1">
      <alignment horizontal="center" vertical="center"/>
    </xf>
    <xf numFmtId="1" fontId="31" fillId="0" borderId="65" xfId="6" applyNumberFormat="1" applyFont="1" applyBorder="1" applyAlignment="1">
      <alignment horizontal="center" vertical="center"/>
    </xf>
    <xf numFmtId="1" fontId="31" fillId="0" borderId="61" xfId="6" applyNumberFormat="1" applyFont="1" applyBorder="1" applyAlignment="1">
      <alignment horizontal="center" vertical="center"/>
    </xf>
    <xf numFmtId="0" fontId="31" fillId="0" borderId="53" xfId="6" applyFont="1" applyBorder="1" applyAlignment="1">
      <alignment horizontal="center" vertical="center"/>
    </xf>
    <xf numFmtId="0" fontId="31" fillId="0" borderId="66" xfId="6" applyFont="1" applyFill="1" applyBorder="1" applyAlignment="1">
      <alignment horizontal="center"/>
    </xf>
    <xf numFmtId="2" fontId="31" fillId="0" borderId="60" xfId="6" applyNumberFormat="1" applyFont="1" applyFill="1" applyBorder="1"/>
    <xf numFmtId="0" fontId="31" fillId="13" borderId="77" xfId="6" applyFont="1" applyFill="1" applyBorder="1" applyAlignment="1">
      <alignment horizontal="center" vertical="center"/>
    </xf>
    <xf numFmtId="0" fontId="31" fillId="13" borderId="86" xfId="6" applyFont="1" applyFill="1" applyBorder="1" applyAlignment="1">
      <alignment horizontal="center" vertical="center"/>
    </xf>
    <xf numFmtId="0" fontId="31" fillId="13" borderId="87" xfId="6" applyFont="1" applyFill="1" applyBorder="1" applyAlignment="1">
      <alignment horizontal="center" vertical="center"/>
    </xf>
    <xf numFmtId="0" fontId="31" fillId="0" borderId="59" xfId="6" applyFont="1" applyBorder="1" applyAlignment="1">
      <alignment horizontal="center"/>
    </xf>
    <xf numFmtId="0" fontId="31" fillId="8" borderId="53" xfId="6" applyFont="1" applyFill="1" applyBorder="1" applyAlignment="1">
      <alignment horizontal="center"/>
    </xf>
    <xf numFmtId="0" fontId="31" fillId="8" borderId="52" xfId="6" applyFont="1" applyFill="1" applyBorder="1" applyAlignment="1">
      <alignment horizontal="center"/>
    </xf>
    <xf numFmtId="0" fontId="36" fillId="0" borderId="0" xfId="6" applyFont="1" applyBorder="1" applyAlignment="1">
      <alignment vertical="center"/>
    </xf>
    <xf numFmtId="0" fontId="31" fillId="0" borderId="0" xfId="6" applyFont="1"/>
    <xf numFmtId="0" fontId="31" fillId="11" borderId="44" xfId="6" applyFont="1" applyFill="1" applyBorder="1" applyAlignment="1">
      <alignment horizontal="center" vertical="center"/>
    </xf>
    <xf numFmtId="0" fontId="31" fillId="11" borderId="25" xfId="6" applyFont="1" applyFill="1" applyBorder="1" applyAlignment="1">
      <alignment horizontal="center" vertical="center"/>
    </xf>
    <xf numFmtId="0" fontId="31" fillId="11" borderId="51" xfId="6" applyFont="1" applyFill="1" applyBorder="1" applyAlignment="1">
      <alignment horizontal="center" vertical="center"/>
    </xf>
    <xf numFmtId="0" fontId="31" fillId="0" borderId="55" xfId="6" applyFont="1" applyBorder="1" applyAlignment="1">
      <alignment horizontal="center" vertical="center"/>
    </xf>
    <xf numFmtId="1" fontId="31" fillId="0" borderId="54" xfId="6" applyNumberFormat="1" applyFont="1" applyBorder="1" applyAlignment="1">
      <alignment horizontal="center" vertical="center"/>
    </xf>
    <xf numFmtId="1" fontId="31" fillId="0" borderId="52" xfId="6" applyNumberFormat="1" applyFont="1" applyBorder="1" applyAlignment="1">
      <alignment horizontal="center" vertical="center"/>
    </xf>
    <xf numFmtId="165" fontId="31" fillId="0" borderId="0" xfId="6" applyNumberFormat="1" applyFont="1" applyFill="1" applyBorder="1" applyAlignment="1"/>
    <xf numFmtId="0" fontId="31" fillId="11" borderId="42" xfId="6" applyFont="1" applyFill="1" applyBorder="1" applyAlignment="1">
      <alignment horizontal="center" vertical="center"/>
    </xf>
    <xf numFmtId="0" fontId="31" fillId="11" borderId="1" xfId="6" applyFont="1" applyFill="1" applyBorder="1" applyAlignment="1">
      <alignment horizontal="center" vertical="center"/>
    </xf>
    <xf numFmtId="0" fontId="31" fillId="11" borderId="48" xfId="6" applyFont="1" applyFill="1" applyBorder="1" applyAlignment="1">
      <alignment horizontal="center" vertical="center"/>
    </xf>
    <xf numFmtId="2" fontId="31" fillId="0" borderId="59" xfId="6" applyNumberFormat="1" applyFont="1" applyBorder="1" applyAlignment="1">
      <alignment horizontal="right"/>
    </xf>
    <xf numFmtId="1" fontId="31" fillId="9" borderId="54" xfId="6" applyNumberFormat="1" applyFont="1" applyFill="1" applyBorder="1" applyAlignment="1">
      <alignment horizontal="center" vertical="center"/>
    </xf>
    <xf numFmtId="0" fontId="31" fillId="0" borderId="34" xfId="6" applyFont="1" applyBorder="1" applyAlignment="1">
      <alignment horizontal="center" vertical="center"/>
    </xf>
    <xf numFmtId="1" fontId="31" fillId="0" borderId="66" xfId="6" applyNumberFormat="1" applyFont="1" applyBorder="1" applyAlignment="1">
      <alignment horizontal="center" vertical="center"/>
    </xf>
    <xf numFmtId="1" fontId="31" fillId="0" borderId="58" xfId="6" applyNumberFormat="1" applyFont="1" applyBorder="1" applyAlignment="1">
      <alignment horizontal="center" vertical="center"/>
    </xf>
    <xf numFmtId="1" fontId="31" fillId="0" borderId="56" xfId="6" applyNumberFormat="1" applyFont="1" applyBorder="1" applyAlignment="1">
      <alignment horizontal="center" vertical="center"/>
    </xf>
    <xf numFmtId="1" fontId="1" fillId="0" borderId="67" xfId="6" applyNumberFormat="1" applyFont="1" applyBorder="1" applyAlignment="1">
      <alignment horizontal="center" vertical="center"/>
    </xf>
    <xf numFmtId="1" fontId="1" fillId="0" borderId="69" xfId="6" applyNumberFormat="1" applyFont="1" applyBorder="1" applyAlignment="1">
      <alignment horizontal="center" vertical="center"/>
    </xf>
    <xf numFmtId="1" fontId="1" fillId="0" borderId="61" xfId="6" applyNumberFormat="1" applyFont="1" applyBorder="1" applyAlignment="1">
      <alignment horizontal="center" vertical="center"/>
    </xf>
    <xf numFmtId="1" fontId="1" fillId="0" borderId="63" xfId="6" applyNumberFormat="1" applyFont="1" applyBorder="1" applyAlignment="1">
      <alignment horizontal="center" vertical="center"/>
    </xf>
    <xf numFmtId="1" fontId="1" fillId="0" borderId="56" xfId="6" applyNumberFormat="1" applyFont="1" applyBorder="1" applyAlignment="1">
      <alignment horizontal="center" vertical="center"/>
    </xf>
    <xf numFmtId="1" fontId="31" fillId="0" borderId="67" xfId="6" applyNumberFormat="1" applyFont="1" applyBorder="1" applyAlignment="1">
      <alignment horizontal="center" vertical="center"/>
    </xf>
    <xf numFmtId="0" fontId="10" fillId="0" borderId="0" xfId="0" applyFont="1" applyAlignment="1">
      <alignment horizontal="center"/>
    </xf>
    <xf numFmtId="0" fontId="8" fillId="0" borderId="0" xfId="6" applyFont="1" applyAlignment="1">
      <alignment horizontal="left" vertical="top" wrapText="1"/>
    </xf>
    <xf numFmtId="0" fontId="31" fillId="13" borderId="42" xfId="6" applyFont="1" applyFill="1" applyBorder="1" applyAlignment="1">
      <alignment horizontal="center" vertical="center"/>
    </xf>
    <xf numFmtId="0" fontId="31" fillId="13" borderId="17" xfId="6" applyFont="1" applyFill="1" applyBorder="1" applyAlignment="1">
      <alignment horizontal="center" vertical="center"/>
    </xf>
    <xf numFmtId="0" fontId="31" fillId="13" borderId="18" xfId="6" applyFont="1" applyFill="1" applyBorder="1" applyAlignment="1">
      <alignment horizontal="center" vertical="center"/>
    </xf>
    <xf numFmtId="0" fontId="31" fillId="13" borderId="25" xfId="6" applyFont="1" applyFill="1" applyBorder="1" applyAlignment="1">
      <alignment horizontal="center" vertical="center"/>
    </xf>
    <xf numFmtId="0" fontId="31" fillId="13" borderId="28" xfId="6" applyFont="1" applyFill="1" applyBorder="1" applyAlignment="1">
      <alignment horizontal="center" vertical="center"/>
    </xf>
    <xf numFmtId="0" fontId="13" fillId="13" borderId="19" xfId="6" applyFont="1" applyFill="1" applyBorder="1" applyAlignment="1">
      <alignment horizontal="center" vertical="center"/>
    </xf>
    <xf numFmtId="0" fontId="13" fillId="13" borderId="20" xfId="6" applyFont="1" applyFill="1" applyBorder="1" applyAlignment="1">
      <alignment horizontal="center" vertical="center"/>
    </xf>
    <xf numFmtId="0" fontId="13" fillId="13" borderId="43" xfId="6" applyFont="1" applyFill="1" applyBorder="1" applyAlignment="1">
      <alignment horizontal="center" vertical="center"/>
    </xf>
    <xf numFmtId="0" fontId="32" fillId="0" borderId="0" xfId="6" quotePrefix="1" applyFont="1" applyAlignment="1">
      <alignment horizontal="left" vertical="center"/>
    </xf>
    <xf numFmtId="0" fontId="1" fillId="10" borderId="77" xfId="6" applyFont="1" applyFill="1" applyBorder="1" applyAlignment="1">
      <alignment horizontal="center" vertical="center"/>
    </xf>
    <xf numFmtId="0" fontId="1" fillId="10" borderId="85" xfId="6" applyFont="1" applyFill="1" applyBorder="1" applyAlignment="1">
      <alignment horizontal="center" vertical="center"/>
    </xf>
    <xf numFmtId="0" fontId="1" fillId="10" borderId="76" xfId="6" applyFont="1" applyFill="1" applyBorder="1" applyAlignment="1">
      <alignment horizontal="center" vertical="center"/>
    </xf>
    <xf numFmtId="0" fontId="31" fillId="15" borderId="77" xfId="6" applyFont="1" applyFill="1" applyBorder="1" applyAlignment="1">
      <alignment horizontal="center" vertical="center"/>
    </xf>
    <xf numFmtId="0" fontId="31" fillId="15" borderId="76" xfId="6" applyFont="1" applyFill="1" applyBorder="1" applyAlignment="1">
      <alignment horizontal="center" vertical="center"/>
    </xf>
    <xf numFmtId="0" fontId="31" fillId="13" borderId="77" xfId="6" applyFont="1" applyFill="1" applyBorder="1" applyAlignment="1">
      <alignment horizontal="center" vertical="center"/>
    </xf>
    <xf numFmtId="0" fontId="31" fillId="13" borderId="76" xfId="6" applyFont="1" applyFill="1" applyBorder="1" applyAlignment="1">
      <alignment horizontal="center" vertical="center"/>
    </xf>
    <xf numFmtId="0" fontId="1" fillId="15" borderId="77" xfId="6" applyFont="1" applyFill="1" applyBorder="1" applyAlignment="1">
      <alignment horizontal="center" vertical="center"/>
    </xf>
    <xf numFmtId="0" fontId="1" fillId="15" borderId="76" xfId="6" applyFont="1" applyFill="1" applyBorder="1" applyAlignment="1">
      <alignment horizontal="center" vertical="center"/>
    </xf>
    <xf numFmtId="0" fontId="35" fillId="13" borderId="19" xfId="6" applyFont="1" applyFill="1" applyBorder="1" applyAlignment="1">
      <alignment horizontal="center" vertical="center"/>
    </xf>
    <xf numFmtId="0" fontId="35" fillId="13" borderId="20" xfId="6" applyFont="1" applyFill="1" applyBorder="1" applyAlignment="1">
      <alignment horizontal="center" vertical="center"/>
    </xf>
    <xf numFmtId="0" fontId="35" fillId="13" borderId="43" xfId="6" applyFont="1" applyFill="1" applyBorder="1" applyAlignment="1">
      <alignment horizontal="center" vertical="center"/>
    </xf>
    <xf numFmtId="0" fontId="1" fillId="12" borderId="32" xfId="6" applyFont="1" applyFill="1" applyBorder="1" applyAlignment="1">
      <alignment horizontal="center" vertical="center"/>
    </xf>
    <xf numFmtId="0" fontId="1" fillId="12" borderId="51" xfId="6" applyFont="1" applyFill="1" applyBorder="1" applyAlignment="1">
      <alignment horizontal="center" vertical="center"/>
    </xf>
    <xf numFmtId="0" fontId="1" fillId="12" borderId="50" xfId="6" applyFont="1" applyFill="1" applyBorder="1" applyAlignment="1">
      <alignment horizontal="center" vertical="center"/>
    </xf>
    <xf numFmtId="0" fontId="1" fillId="12" borderId="44" xfId="6" applyFont="1" applyFill="1" applyBorder="1" applyAlignment="1">
      <alignment horizontal="center" vertical="center"/>
    </xf>
    <xf numFmtId="0" fontId="1" fillId="12" borderId="45" xfId="6" applyFont="1" applyFill="1" applyBorder="1" applyAlignment="1">
      <alignment horizontal="center" vertical="center"/>
    </xf>
    <xf numFmtId="0" fontId="31" fillId="13" borderId="32" xfId="6" applyFont="1" applyFill="1" applyBorder="1" applyAlignment="1">
      <alignment horizontal="center" vertical="center"/>
    </xf>
    <xf numFmtId="0" fontId="31" fillId="13" borderId="50" xfId="6" applyFont="1" applyFill="1" applyBorder="1" applyAlignment="1">
      <alignment horizontal="center" vertical="center"/>
    </xf>
    <xf numFmtId="0" fontId="31" fillId="13" borderId="51" xfId="6" applyFont="1" applyFill="1" applyBorder="1" applyAlignment="1">
      <alignment horizontal="center" vertical="center"/>
    </xf>
    <xf numFmtId="0" fontId="1" fillId="12" borderId="29" xfId="6" applyFont="1" applyFill="1" applyBorder="1" applyAlignment="1">
      <alignment horizontal="center" vertical="center"/>
    </xf>
    <xf numFmtId="0" fontId="1" fillId="12" borderId="30" xfId="6" applyFont="1" applyFill="1" applyBorder="1" applyAlignment="1">
      <alignment horizontal="center" vertical="center"/>
    </xf>
    <xf numFmtId="0" fontId="35" fillId="11" borderId="44" xfId="6" applyFont="1" applyFill="1" applyBorder="1" applyAlignment="1">
      <alignment horizontal="center" vertical="center"/>
    </xf>
    <xf numFmtId="0" fontId="35" fillId="11" borderId="50" xfId="6" applyFont="1" applyFill="1" applyBorder="1" applyAlignment="1">
      <alignment horizontal="center" vertical="center"/>
    </xf>
    <xf numFmtId="0" fontId="35" fillId="11" borderId="51" xfId="6" applyFont="1" applyFill="1" applyBorder="1" applyAlignment="1">
      <alignment horizontal="center" vertical="center"/>
    </xf>
    <xf numFmtId="0" fontId="1" fillId="12" borderId="18" xfId="6" applyFont="1" applyFill="1" applyBorder="1" applyAlignment="1">
      <alignment horizontal="center" vertical="center"/>
    </xf>
    <xf numFmtId="0" fontId="1" fillId="12" borderId="17" xfId="6" applyFont="1" applyFill="1" applyBorder="1" applyAlignment="1">
      <alignment horizontal="center" vertical="center"/>
    </xf>
    <xf numFmtId="0" fontId="1" fillId="12" borderId="88" xfId="6" applyFont="1" applyFill="1" applyBorder="1" applyAlignment="1">
      <alignment horizontal="center" vertical="center"/>
    </xf>
    <xf numFmtId="0" fontId="13" fillId="12" borderId="44" xfId="6" applyFont="1" applyFill="1" applyBorder="1" applyAlignment="1">
      <alignment horizontal="center" vertical="center"/>
    </xf>
    <xf numFmtId="0" fontId="13" fillId="12" borderId="50" xfId="6" applyFont="1" applyFill="1" applyBorder="1" applyAlignment="1">
      <alignment horizontal="center" vertical="center"/>
    </xf>
    <xf numFmtId="0" fontId="13" fillId="12" borderId="38" xfId="6" applyFont="1" applyFill="1" applyBorder="1" applyAlignment="1">
      <alignment horizontal="center" vertical="center"/>
    </xf>
    <xf numFmtId="0" fontId="13" fillId="12" borderId="51" xfId="6" applyFont="1" applyFill="1" applyBorder="1" applyAlignment="1">
      <alignment horizontal="center" vertical="center"/>
    </xf>
    <xf numFmtId="0" fontId="1" fillId="12" borderId="89" xfId="6" applyFont="1" applyFill="1" applyBorder="1" applyAlignment="1">
      <alignment horizontal="center" vertical="center"/>
    </xf>
    <xf numFmtId="0" fontId="1" fillId="12" borderId="55" xfId="6" applyFont="1" applyFill="1" applyBorder="1" applyAlignment="1">
      <alignment horizontal="center" vertical="center"/>
    </xf>
    <xf numFmtId="0" fontId="19" fillId="12" borderId="32" xfId="6" applyFill="1" applyBorder="1" applyAlignment="1">
      <alignment horizontal="center" vertical="center"/>
    </xf>
    <xf numFmtId="0" fontId="19" fillId="12" borderId="50" xfId="6" applyFill="1" applyBorder="1" applyAlignment="1">
      <alignment horizontal="center" vertical="center"/>
    </xf>
    <xf numFmtId="0" fontId="19" fillId="12" borderId="44" xfId="6" applyFill="1" applyBorder="1" applyAlignment="1">
      <alignment horizontal="center" vertical="center"/>
    </xf>
    <xf numFmtId="0" fontId="19" fillId="12" borderId="45" xfId="6" applyFill="1" applyBorder="1" applyAlignment="1">
      <alignment horizontal="center" vertical="center"/>
    </xf>
    <xf numFmtId="0" fontId="19" fillId="12" borderId="33" xfId="6" applyFill="1" applyBorder="1" applyAlignment="1">
      <alignment horizontal="center" vertical="center"/>
    </xf>
    <xf numFmtId="0" fontId="19" fillId="12" borderId="15" xfId="6" applyFill="1" applyBorder="1" applyAlignment="1">
      <alignment horizontal="center" vertical="center"/>
    </xf>
    <xf numFmtId="0" fontId="19" fillId="13" borderId="42" xfId="6" applyFill="1" applyBorder="1" applyAlignment="1">
      <alignment horizontal="center" vertical="center"/>
    </xf>
    <xf numFmtId="0" fontId="19" fillId="13" borderId="17" xfId="6" applyFill="1" applyBorder="1" applyAlignment="1">
      <alignment horizontal="center" vertical="center"/>
    </xf>
    <xf numFmtId="0" fontId="19" fillId="13" borderId="18" xfId="6" applyFill="1" applyBorder="1" applyAlignment="1">
      <alignment horizontal="center" vertical="center"/>
    </xf>
    <xf numFmtId="0" fontId="19" fillId="12" borderId="37" xfId="6" applyFill="1" applyBorder="1" applyAlignment="1">
      <alignment horizontal="center" vertical="center"/>
    </xf>
    <xf numFmtId="0" fontId="19" fillId="12" borderId="38" xfId="6" applyFill="1" applyBorder="1" applyAlignment="1">
      <alignment horizontal="center" vertical="center"/>
    </xf>
    <xf numFmtId="0" fontId="19" fillId="12" borderId="46" xfId="6" applyFill="1" applyBorder="1" applyAlignment="1">
      <alignment horizontal="center" vertical="center"/>
    </xf>
    <xf numFmtId="0" fontId="19" fillId="0" borderId="0" xfId="6" applyFill="1" applyBorder="1" applyAlignment="1">
      <alignment horizontal="center" vertical="center"/>
    </xf>
    <xf numFmtId="0" fontId="19" fillId="12" borderId="29" xfId="6" applyFill="1" applyBorder="1" applyAlignment="1">
      <alignment horizontal="center" vertical="center"/>
    </xf>
    <xf numFmtId="0" fontId="19" fillId="12" borderId="30" xfId="6" applyFill="1" applyBorder="1" applyAlignment="1">
      <alignment horizontal="center" vertical="center"/>
    </xf>
    <xf numFmtId="0" fontId="19" fillId="0" borderId="0" xfId="6" applyFill="1" applyBorder="1" applyAlignment="1">
      <alignment horizontal="center" vertical="center" wrapText="1"/>
    </xf>
    <xf numFmtId="0" fontId="9" fillId="11" borderId="44" xfId="6" applyFont="1" applyFill="1" applyBorder="1" applyAlignment="1">
      <alignment horizontal="center" vertical="center"/>
    </xf>
    <xf numFmtId="0" fontId="9" fillId="11" borderId="50" xfId="6" applyFont="1" applyFill="1" applyBorder="1" applyAlignment="1">
      <alignment horizontal="center" vertical="center"/>
    </xf>
    <xf numFmtId="0" fontId="9" fillId="11" borderId="51" xfId="6" applyFont="1" applyFill="1" applyBorder="1" applyAlignment="1">
      <alignment horizontal="center" vertical="center"/>
    </xf>
    <xf numFmtId="0" fontId="9" fillId="12" borderId="44" xfId="6" applyFont="1" applyFill="1" applyBorder="1" applyAlignment="1">
      <alignment horizontal="center" vertical="center"/>
    </xf>
    <xf numFmtId="0" fontId="9" fillId="12" borderId="50" xfId="6" applyFont="1" applyFill="1" applyBorder="1" applyAlignment="1">
      <alignment horizontal="center" vertical="center"/>
    </xf>
    <xf numFmtId="0" fontId="9" fillId="12" borderId="51" xfId="6" applyFont="1" applyFill="1" applyBorder="1" applyAlignment="1">
      <alignment horizontal="center" vertical="center"/>
    </xf>
    <xf numFmtId="0" fontId="19" fillId="12" borderId="55" xfId="6" applyFill="1" applyBorder="1" applyAlignment="1">
      <alignment horizontal="center" vertical="center"/>
    </xf>
    <xf numFmtId="0" fontId="21" fillId="0" borderId="38" xfId="6" applyFont="1" applyFill="1" applyBorder="1" applyAlignment="1">
      <alignment horizontal="center" vertical="center" wrapText="1"/>
    </xf>
    <xf numFmtId="0" fontId="19" fillId="0" borderId="38" xfId="6" applyBorder="1" applyAlignment="1">
      <alignment horizontal="center" vertical="center" wrapText="1"/>
    </xf>
    <xf numFmtId="0" fontId="19" fillId="0" borderId="0" xfId="6" applyAlignment="1">
      <alignment horizontal="center" vertical="center" wrapText="1"/>
    </xf>
    <xf numFmtId="0" fontId="19" fillId="0" borderId="40" xfId="6" applyBorder="1" applyAlignment="1">
      <alignment horizontal="center" vertical="center" wrapText="1"/>
    </xf>
    <xf numFmtId="0" fontId="20" fillId="0" borderId="0" xfId="6" applyFont="1" applyAlignment="1">
      <alignment horizontal="center"/>
    </xf>
    <xf numFmtId="0" fontId="20" fillId="0" borderId="0" xfId="6" applyFont="1" applyBorder="1" applyAlignment="1">
      <alignment horizontal="center"/>
    </xf>
    <xf numFmtId="0" fontId="19" fillId="13" borderId="25" xfId="6" applyFill="1" applyBorder="1" applyAlignment="1">
      <alignment horizontal="center" vertical="center"/>
    </xf>
    <xf numFmtId="0" fontId="19" fillId="13" borderId="28" xfId="6" applyFill="1" applyBorder="1" applyAlignment="1">
      <alignment horizontal="center" vertical="center"/>
    </xf>
    <xf numFmtId="0" fontId="19" fillId="12" borderId="51" xfId="6" applyFill="1" applyBorder="1" applyAlignment="1">
      <alignment horizontal="center" vertical="center"/>
    </xf>
    <xf numFmtId="0" fontId="20" fillId="0" borderId="0" xfId="6" applyFont="1" applyAlignment="1">
      <alignment horizontal="left"/>
    </xf>
    <xf numFmtId="0" fontId="9" fillId="13" borderId="37" xfId="6" applyFont="1" applyFill="1" applyBorder="1" applyAlignment="1">
      <alignment horizontal="center" vertical="center"/>
    </xf>
    <xf numFmtId="0" fontId="9" fillId="13" borderId="38" xfId="6" applyFont="1" applyFill="1" applyBorder="1" applyAlignment="1">
      <alignment horizontal="center" vertical="center"/>
    </xf>
    <xf numFmtId="0" fontId="9" fillId="13" borderId="39" xfId="6" applyFont="1" applyFill="1" applyBorder="1" applyAlignment="1">
      <alignment horizontal="center" vertical="center"/>
    </xf>
    <xf numFmtId="0" fontId="20" fillId="0" borderId="0" xfId="6" applyFont="1" applyBorder="1" applyAlignment="1">
      <alignment horizontal="center" vertical="center" wrapText="1"/>
    </xf>
    <xf numFmtId="0" fontId="19" fillId="13" borderId="77" xfId="6" applyFill="1" applyBorder="1" applyAlignment="1">
      <alignment horizontal="center" vertical="center"/>
    </xf>
    <xf numFmtId="0" fontId="19" fillId="13" borderId="85" xfId="6" applyFill="1" applyBorder="1" applyAlignment="1">
      <alignment horizontal="center" vertical="center"/>
    </xf>
    <xf numFmtId="0" fontId="19" fillId="13" borderId="76" xfId="6" applyFill="1" applyBorder="1" applyAlignment="1">
      <alignment horizontal="center" vertical="center"/>
    </xf>
    <xf numFmtId="0" fontId="20" fillId="0" borderId="0" xfId="6" applyFont="1" applyAlignment="1">
      <alignment horizontal="justify" vertical="top" wrapText="1"/>
    </xf>
    <xf numFmtId="0" fontId="19" fillId="0" borderId="0" xfId="6" applyAlignment="1">
      <alignment vertical="top" wrapText="1"/>
    </xf>
    <xf numFmtId="0" fontId="20" fillId="0" borderId="0" xfId="6" applyFont="1" applyAlignment="1">
      <alignment horizontal="left" vertical="top" wrapText="1"/>
    </xf>
    <xf numFmtId="0" fontId="7" fillId="10" borderId="77" xfId="6" applyFont="1" applyFill="1" applyBorder="1" applyAlignment="1">
      <alignment horizontal="center" vertical="center"/>
    </xf>
    <xf numFmtId="0" fontId="7" fillId="10" borderId="85" xfId="6" applyFont="1" applyFill="1" applyBorder="1" applyAlignment="1">
      <alignment horizontal="center" vertical="center"/>
    </xf>
    <xf numFmtId="0" fontId="7" fillId="10" borderId="76" xfId="6" applyFont="1" applyFill="1" applyBorder="1" applyAlignment="1">
      <alignment horizontal="center" vertical="center"/>
    </xf>
    <xf numFmtId="0" fontId="19" fillId="15" borderId="77" xfId="6" applyFill="1" applyBorder="1" applyAlignment="1">
      <alignment horizontal="center" vertical="center"/>
    </xf>
    <xf numFmtId="0" fontId="19" fillId="15" borderId="76" xfId="6" applyFill="1" applyBorder="1" applyAlignment="1">
      <alignment horizontal="center" vertical="center"/>
    </xf>
    <xf numFmtId="0" fontId="7" fillId="15" borderId="77" xfId="6" applyFont="1" applyFill="1" applyBorder="1" applyAlignment="1">
      <alignment horizontal="center" vertical="center"/>
    </xf>
    <xf numFmtId="0" fontId="7" fillId="15" borderId="76" xfId="6" applyFont="1" applyFill="1" applyBorder="1" applyAlignment="1">
      <alignment horizontal="center" vertical="center"/>
    </xf>
    <xf numFmtId="0" fontId="22" fillId="0" borderId="0" xfId="6" applyFont="1" applyAlignment="1">
      <alignment horizontal="center"/>
    </xf>
    <xf numFmtId="0" fontId="19" fillId="13" borderId="1" xfId="6" applyFill="1" applyBorder="1" applyAlignment="1">
      <alignment horizontal="center" vertical="center"/>
    </xf>
    <xf numFmtId="0" fontId="19" fillId="13" borderId="22" xfId="6" applyFill="1" applyBorder="1" applyAlignment="1">
      <alignment horizontal="center" vertical="center"/>
    </xf>
    <xf numFmtId="0" fontId="19" fillId="13" borderId="32" xfId="6" applyFill="1" applyBorder="1" applyAlignment="1">
      <alignment horizontal="center" vertical="center"/>
    </xf>
    <xf numFmtId="0" fontId="19" fillId="13" borderId="50" xfId="6" applyFill="1" applyBorder="1" applyAlignment="1">
      <alignment horizontal="center" vertical="center"/>
    </xf>
    <xf numFmtId="0" fontId="19" fillId="13" borderId="51" xfId="6" applyFill="1" applyBorder="1" applyAlignment="1">
      <alignment horizontal="center" vertical="center"/>
    </xf>
    <xf numFmtId="0" fontId="2" fillId="0" borderId="0" xfId="0" applyFont="1" applyAlignment="1">
      <alignment horizontal="center"/>
    </xf>
    <xf numFmtId="0" fontId="38" fillId="0" borderId="0" xfId="0" applyFont="1"/>
    <xf numFmtId="0" fontId="5" fillId="0" borderId="0" xfId="0" applyFont="1" applyAlignment="1">
      <alignment horizontal="right"/>
    </xf>
    <xf numFmtId="0" fontId="5" fillId="0" borderId="0" xfId="0" applyFont="1" applyFill="1"/>
    <xf numFmtId="0" fontId="1" fillId="0" borderId="0" xfId="0" applyFont="1"/>
    <xf numFmtId="0" fontId="38" fillId="0" borderId="0" xfId="0" applyFont="1" applyAlignment="1">
      <alignment horizontal="left"/>
    </xf>
    <xf numFmtId="0" fontId="38" fillId="0" borderId="0" xfId="0" applyFont="1" applyFill="1"/>
    <xf numFmtId="0" fontId="1" fillId="0" borderId="0" xfId="0" applyFont="1" applyAlignment="1">
      <alignment horizontal="left"/>
    </xf>
    <xf numFmtId="0" fontId="5" fillId="2" borderId="1" xfId="0" applyFont="1" applyFill="1" applyBorder="1" applyAlignment="1">
      <alignment horizontal="left"/>
    </xf>
    <xf numFmtId="0" fontId="1" fillId="0" borderId="0" xfId="0" applyFont="1" applyFill="1"/>
    <xf numFmtId="0" fontId="1" fillId="0" borderId="10" xfId="0" applyFont="1" applyFill="1" applyBorder="1" applyAlignment="1">
      <alignment horizontal="left"/>
    </xf>
    <xf numFmtId="0" fontId="5" fillId="0" borderId="5" xfId="0" applyFont="1" applyBorder="1" applyAlignment="1">
      <alignment horizontal="left"/>
    </xf>
    <xf numFmtId="0" fontId="5" fillId="0" borderId="0" xfId="0" applyFont="1" applyAlignment="1">
      <alignment horizontal="left"/>
    </xf>
    <xf numFmtId="0" fontId="5" fillId="2" borderId="5" xfId="0" applyFont="1" applyFill="1" applyBorder="1" applyAlignment="1">
      <alignment horizontal="left"/>
    </xf>
    <xf numFmtId="0" fontId="5" fillId="0" borderId="0" xfId="0" applyFont="1" applyBorder="1"/>
    <xf numFmtId="164" fontId="5" fillId="5" borderId="5" xfId="0" applyNumberFormat="1" applyFont="1" applyFill="1" applyBorder="1" applyAlignment="1">
      <alignment horizontal="left"/>
    </xf>
    <xf numFmtId="164" fontId="1" fillId="0" borderId="2" xfId="0" applyNumberFormat="1" applyFont="1" applyFill="1" applyBorder="1" applyAlignment="1">
      <alignment horizontal="left"/>
    </xf>
    <xf numFmtId="0" fontId="5" fillId="4" borderId="2" xfId="0" applyFont="1" applyFill="1" applyBorder="1" applyAlignment="1">
      <alignment horizontal="left"/>
    </xf>
    <xf numFmtId="0" fontId="5" fillId="4" borderId="9" xfId="0" applyFont="1" applyFill="1" applyBorder="1" applyAlignment="1">
      <alignment horizontal="left"/>
    </xf>
    <xf numFmtId="1" fontId="1" fillId="0" borderId="5" xfId="0" applyNumberFormat="1" applyFont="1" applyFill="1" applyBorder="1" applyAlignment="1">
      <alignment horizontal="left"/>
    </xf>
    <xf numFmtId="164" fontId="38" fillId="0" borderId="5" xfId="0" applyNumberFormat="1" applyFont="1" applyBorder="1" applyAlignment="1">
      <alignment horizontal="left"/>
    </xf>
    <xf numFmtId="1" fontId="1" fillId="0" borderId="6" xfId="0" applyNumberFormat="1" applyFont="1" applyFill="1" applyBorder="1" applyAlignment="1">
      <alignment horizontal="left"/>
    </xf>
    <xf numFmtId="0" fontId="1" fillId="0" borderId="0" xfId="0" applyFont="1" applyAlignment="1">
      <alignment horizontal="right"/>
    </xf>
    <xf numFmtId="0" fontId="1" fillId="0" borderId="0" xfId="0" applyFont="1" applyFill="1" applyBorder="1"/>
    <xf numFmtId="0" fontId="13" fillId="3" borderId="3" xfId="0" applyFont="1" applyFill="1" applyBorder="1" applyAlignment="1">
      <alignment horizontal="left" vertical="center"/>
    </xf>
    <xf numFmtId="0" fontId="13" fillId="3" borderId="4" xfId="0" applyFont="1" applyFill="1" applyBorder="1" applyAlignment="1">
      <alignment horizontal="left" vertical="center"/>
    </xf>
    <xf numFmtId="0" fontId="1" fillId="3" borderId="3" xfId="0" applyFont="1" applyFill="1" applyBorder="1" applyAlignment="1">
      <alignment horizontal="center"/>
    </xf>
    <xf numFmtId="0" fontId="1" fillId="3" borderId="12" xfId="0" applyFont="1" applyFill="1" applyBorder="1" applyAlignment="1">
      <alignment horizontal="center"/>
    </xf>
    <xf numFmtId="0" fontId="1" fillId="0" borderId="0" xfId="0" applyFont="1" applyFill="1" applyBorder="1" applyAlignment="1">
      <alignment horizontal="center"/>
    </xf>
    <xf numFmtId="0" fontId="1" fillId="0" borderId="3" xfId="0" applyFont="1" applyBorder="1"/>
    <xf numFmtId="0" fontId="1" fillId="0" borderId="4" xfId="0" applyFont="1" applyBorder="1" applyAlignment="1">
      <alignment horizontal="right"/>
    </xf>
    <xf numFmtId="1" fontId="1" fillId="0" borderId="3" xfId="0" applyNumberFormat="1" applyFont="1" applyFill="1" applyBorder="1" applyAlignment="1">
      <alignment horizontal="left"/>
    </xf>
    <xf numFmtId="1" fontId="1" fillId="0" borderId="13" xfId="0" applyNumberFormat="1" applyFont="1" applyFill="1" applyBorder="1" applyAlignment="1">
      <alignment horizontal="left"/>
    </xf>
    <xf numFmtId="1" fontId="1" fillId="0" borderId="0" xfId="0" applyNumberFormat="1" applyFont="1" applyFill="1" applyBorder="1" applyAlignment="1">
      <alignment horizontal="left"/>
    </xf>
    <xf numFmtId="1" fontId="1" fillId="0" borderId="3" xfId="0" applyNumberFormat="1" applyFont="1" applyBorder="1" applyAlignment="1">
      <alignment horizontal="left"/>
    </xf>
    <xf numFmtId="1" fontId="1" fillId="0" borderId="13" xfId="0" applyNumberFormat="1" applyFont="1" applyBorder="1" applyAlignment="1">
      <alignment horizontal="left"/>
    </xf>
    <xf numFmtId="0" fontId="5" fillId="0" borderId="0" xfId="0" applyFont="1" applyAlignment="1">
      <alignment vertical="center"/>
    </xf>
    <xf numFmtId="1" fontId="1" fillId="0" borderId="3" xfId="0" applyNumberFormat="1" applyFont="1" applyBorder="1" applyAlignment="1">
      <alignment horizontal="right"/>
    </xf>
    <xf numFmtId="1" fontId="1" fillId="0" borderId="13" xfId="0" applyNumberFormat="1" applyFont="1" applyBorder="1" applyAlignment="1">
      <alignment horizontal="right"/>
    </xf>
    <xf numFmtId="0" fontId="13" fillId="3" borderId="3" xfId="0" applyFont="1" applyFill="1" applyBorder="1" applyAlignment="1">
      <alignment horizontal="left" vertical="center"/>
    </xf>
    <xf numFmtId="0" fontId="13" fillId="3" borderId="4" xfId="0" applyFont="1" applyFill="1" applyBorder="1" applyAlignment="1">
      <alignment horizontal="left" vertical="center"/>
    </xf>
    <xf numFmtId="0" fontId="1" fillId="3" borderId="13" xfId="0" applyFont="1" applyFill="1" applyBorder="1" applyAlignment="1">
      <alignment horizontal="center"/>
    </xf>
    <xf numFmtId="0" fontId="1" fillId="0" borderId="7" xfId="0" applyFont="1" applyBorder="1"/>
    <xf numFmtId="0" fontId="1" fillId="0" borderId="8" xfId="0" applyFont="1" applyBorder="1" applyAlignment="1">
      <alignment horizontal="right"/>
    </xf>
    <xf numFmtId="1" fontId="1" fillId="0" borderId="7" xfId="0" applyNumberFormat="1" applyFont="1" applyBorder="1" applyAlignment="1">
      <alignment horizontal="left"/>
    </xf>
    <xf numFmtId="1" fontId="1" fillId="0" borderId="14" xfId="0" applyNumberFormat="1" applyFont="1" applyBorder="1" applyAlignment="1">
      <alignment horizontal="left"/>
    </xf>
    <xf numFmtId="0" fontId="1" fillId="0" borderId="11" xfId="0" applyFont="1" applyBorder="1" applyAlignment="1">
      <alignment horizontal="left"/>
    </xf>
    <xf numFmtId="0" fontId="1" fillId="0" borderId="16" xfId="0" applyFont="1" applyBorder="1" applyAlignment="1">
      <alignment horizontal="left"/>
    </xf>
    <xf numFmtId="1" fontId="1" fillId="0" borderId="11" xfId="0" applyNumberFormat="1" applyFont="1" applyBorder="1" applyAlignment="1">
      <alignment horizontal="left"/>
    </xf>
    <xf numFmtId="1" fontId="1" fillId="0" borderId="5" xfId="0" applyNumberFormat="1" applyFont="1" applyBorder="1" applyAlignment="1">
      <alignment horizontal="left"/>
    </xf>
    <xf numFmtId="0" fontId="1" fillId="0" borderId="0" xfId="0" applyFont="1" applyBorder="1"/>
    <xf numFmtId="0" fontId="1" fillId="0" borderId="0" xfId="0" applyFont="1" applyBorder="1" applyAlignment="1">
      <alignment horizontal="right"/>
    </xf>
    <xf numFmtId="1" fontId="1" fillId="0" borderId="0" xfId="0" applyNumberFormat="1" applyFont="1" applyBorder="1"/>
    <xf numFmtId="1" fontId="1" fillId="0" borderId="0" xfId="0" applyNumberFormat="1" applyFont="1" applyBorder="1" applyAlignment="1">
      <alignment horizontal="right"/>
    </xf>
    <xf numFmtId="1" fontId="1" fillId="0" borderId="0" xfId="0" applyNumberFormat="1" applyFont="1" applyFill="1" applyBorder="1"/>
    <xf numFmtId="2" fontId="5" fillId="0" borderId="0" xfId="0" applyNumberFormat="1" applyFont="1" applyAlignment="1">
      <alignment horizontal="center" vertical="center"/>
    </xf>
    <xf numFmtId="0" fontId="5" fillId="0" borderId="0" xfId="0" applyFont="1" applyFill="1" applyBorder="1"/>
    <xf numFmtId="0" fontId="5" fillId="0" borderId="0" xfId="0" applyFont="1" applyFill="1" applyBorder="1" applyAlignment="1">
      <alignment horizontal="right"/>
    </xf>
    <xf numFmtId="0" fontId="5" fillId="0" borderId="0" xfId="0" applyFont="1" applyFill="1" applyBorder="1" applyAlignment="1">
      <alignment horizontal="left"/>
    </xf>
    <xf numFmtId="0" fontId="38" fillId="0" borderId="0" xfId="0" applyFont="1" applyFill="1" applyBorder="1"/>
    <xf numFmtId="0" fontId="38" fillId="0" borderId="0" xfId="0" applyFont="1" applyFill="1" applyBorder="1" applyAlignment="1">
      <alignment horizontal="right"/>
    </xf>
    <xf numFmtId="1" fontId="1" fillId="0" borderId="0" xfId="0" applyNumberFormat="1" applyFont="1" applyFill="1" applyBorder="1" applyAlignment="1">
      <alignment horizontal="right"/>
    </xf>
    <xf numFmtId="0" fontId="38" fillId="0" borderId="0" xfId="0" applyFont="1" applyAlignment="1">
      <alignment horizontal="right"/>
    </xf>
    <xf numFmtId="0" fontId="1" fillId="13" borderId="1" xfId="6" applyFont="1" applyFill="1" applyBorder="1" applyAlignment="1">
      <alignment horizontal="center" vertical="center"/>
    </xf>
    <xf numFmtId="0" fontId="13" fillId="13" borderId="37" xfId="6" applyFont="1" applyFill="1" applyBorder="1" applyAlignment="1">
      <alignment horizontal="center" vertical="center"/>
    </xf>
    <xf numFmtId="0" fontId="13" fillId="13" borderId="38" xfId="6" applyFont="1" applyFill="1" applyBorder="1" applyAlignment="1">
      <alignment horizontal="center" vertical="center"/>
    </xf>
    <xf numFmtId="0" fontId="13" fillId="13" borderId="39" xfId="6" applyFont="1" applyFill="1" applyBorder="1" applyAlignment="1">
      <alignment horizontal="center" vertical="center"/>
    </xf>
    <xf numFmtId="0" fontId="1" fillId="13" borderId="22" xfId="6" applyFont="1" applyFill="1" applyBorder="1" applyAlignment="1">
      <alignment horizontal="center" vertical="center"/>
    </xf>
    <xf numFmtId="1" fontId="31" fillId="0" borderId="23" xfId="6" applyNumberFormat="1" applyFont="1" applyBorder="1" applyAlignment="1">
      <alignment horizontal="center" vertical="center"/>
    </xf>
    <xf numFmtId="1" fontId="31" fillId="0" borderId="24" xfId="6" applyNumberFormat="1" applyFont="1" applyBorder="1" applyAlignment="1">
      <alignment horizontal="center" vertical="center"/>
    </xf>
    <xf numFmtId="0" fontId="31" fillId="0" borderId="1" xfId="6" applyFont="1" applyBorder="1" applyAlignment="1">
      <alignment horizontal="center" vertical="center"/>
    </xf>
    <xf numFmtId="0" fontId="31" fillId="0" borderId="22" xfId="6" applyFont="1" applyBorder="1" applyAlignment="1">
      <alignment horizontal="center" vertical="center"/>
    </xf>
  </cellXfs>
  <cellStyles count="7">
    <cellStyle name="Feu ROUGE" xfId="2"/>
    <cellStyle name="Feu VERT" xfId="3"/>
    <cellStyle name="Milliers 2" xfId="4"/>
    <cellStyle name="Monétaire 2" xfId="5"/>
    <cellStyle name="Normal" xfId="0" builtinId="0"/>
    <cellStyle name="Normal 2" xfId="1"/>
    <cellStyle name="Normal 3" xfId="6"/>
  </cellStyles>
  <dxfs count="0"/>
  <tableStyles count="0" defaultTableStyle="TableStyleMedium2" defaultPivotStyle="PivotStyleLight16"/>
  <colors>
    <mruColors>
      <color rgb="FFFF99CC"/>
      <color rgb="FFFFD5AB"/>
      <color rgb="FFFFFF66"/>
      <color rgb="FFFFCC99"/>
      <color rgb="FFFFCCFF"/>
      <color rgb="FFFFD5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6073966787329504E-2"/>
          <c:y val="1.3937031060354084E-2"/>
          <c:w val="0.87130972118591676"/>
          <c:h val="0.93205640758333574"/>
        </c:manualLayout>
      </c:layout>
      <c:scatterChart>
        <c:scatterStyle val="lineMarker"/>
        <c:varyColors val="0"/>
        <c:ser>
          <c:idx val="0"/>
          <c:order val="0"/>
          <c:tx>
            <c:v>A</c:v>
          </c:tx>
          <c:spPr>
            <a:ln w="34925" cap="rnd">
              <a:solidFill>
                <a:schemeClr val="accent1"/>
              </a:solidFill>
              <a:round/>
            </a:ln>
            <a:effectLst>
              <a:outerShdw blurRad="57150" dist="19050" dir="5400000" algn="ctr" rotWithShape="0">
                <a:srgbClr val="000000">
                  <a:alpha val="63000"/>
                </a:srgbClr>
              </a:outerShdw>
            </a:effectLst>
          </c:spPr>
          <c:marker>
            <c:symbol val="none"/>
          </c:marker>
          <c:dLbls>
            <c:numFmt formatCode="General"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fr-FR"/>
              </a:p>
            </c:tx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xVal>
            <c:numRef>
              <c:f>CIN!$C$19</c:f>
              <c:numCache>
                <c:formatCode>0</c:formatCode>
                <c:ptCount val="1"/>
                <c:pt idx="0">
                  <c:v>0</c:v>
                </c:pt>
              </c:numCache>
            </c:numRef>
          </c:xVal>
          <c:yVal>
            <c:numRef>
              <c:f>CIN!$D$19</c:f>
              <c:numCache>
                <c:formatCode>0</c:formatCode>
                <c:ptCount val="1"/>
                <c:pt idx="0">
                  <c:v>0</c:v>
                </c:pt>
              </c:numCache>
            </c:numRef>
          </c:yVal>
          <c:smooth val="0"/>
        </c:ser>
        <c:ser>
          <c:idx val="1"/>
          <c:order val="1"/>
          <c:tx>
            <c:v>C</c:v>
          </c:tx>
          <c:spPr>
            <a:ln w="34925" cap="rnd">
              <a:solidFill>
                <a:schemeClr val="accent2"/>
              </a:solidFill>
              <a:round/>
            </a:ln>
            <a:effectLst>
              <a:outerShdw blurRad="40000" dist="23000" dir="5400000" rotWithShape="0">
                <a:srgbClr val="000000">
                  <a:alpha val="35000"/>
                </a:srgbClr>
              </a:outerShdw>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fr-FR"/>
              </a:p>
            </c:tx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xVal>
            <c:numRef>
              <c:f>CIN!$C$20</c:f>
              <c:numCache>
                <c:formatCode>0</c:formatCode>
                <c:ptCount val="1"/>
                <c:pt idx="0">
                  <c:v>2503.9968051097826</c:v>
                </c:pt>
              </c:numCache>
            </c:numRef>
          </c:xVal>
          <c:yVal>
            <c:numRef>
              <c:f>CIN!$D$20</c:f>
              <c:numCache>
                <c:formatCode>0</c:formatCode>
                <c:ptCount val="1"/>
                <c:pt idx="0">
                  <c:v>0</c:v>
                </c:pt>
              </c:numCache>
            </c:numRef>
          </c:yVal>
          <c:smooth val="0"/>
        </c:ser>
        <c:ser>
          <c:idx val="2"/>
          <c:order val="2"/>
          <c:tx>
            <c:v>I</c:v>
          </c:tx>
          <c:spPr>
            <a:ln w="34925" cap="rnd">
              <a:solidFill>
                <a:schemeClr val="accent3"/>
              </a:solidFill>
              <a:round/>
            </a:ln>
            <a:effectLst>
              <a:outerShdw blurRad="57150" dist="19050" dir="5400000" algn="ctr" rotWithShape="0">
                <a:srgbClr val="000000">
                  <a:alpha val="63000"/>
                </a:srgbClr>
              </a:outerShdw>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fr-FR"/>
              </a:p>
            </c:tx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xVal>
            <c:numRef>
              <c:f>CIN!$C$21</c:f>
              <c:numCache>
                <c:formatCode>0</c:formatCode>
                <c:ptCount val="1"/>
                <c:pt idx="0">
                  <c:v>1251.9984025548913</c:v>
                </c:pt>
              </c:numCache>
            </c:numRef>
          </c:xVal>
          <c:yVal>
            <c:numRef>
              <c:f>CIN!$D$21</c:f>
              <c:numCache>
                <c:formatCode>0</c:formatCode>
                <c:ptCount val="1"/>
                <c:pt idx="0">
                  <c:v>1150.0000000000002</c:v>
                </c:pt>
              </c:numCache>
            </c:numRef>
          </c:yVal>
          <c:smooth val="0"/>
        </c:ser>
        <c:ser>
          <c:idx val="3"/>
          <c:order val="3"/>
          <c:tx>
            <c:v>D</c:v>
          </c:tx>
          <c:spPr>
            <a:ln w="34925" cap="rnd">
              <a:solidFill>
                <a:schemeClr val="accent4"/>
              </a:solidFill>
              <a:round/>
            </a:ln>
            <a:effectLst>
              <a:outerShdw blurRad="57150" dist="19050" dir="5400000" algn="ctr" rotWithShape="0">
                <a:srgbClr val="000000">
                  <a:alpha val="63000"/>
                </a:srgbClr>
              </a:outerShdw>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fr-FR"/>
              </a:p>
            </c:tx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xVal>
            <c:numRef>
              <c:f>CIN!$C$22</c:f>
              <c:numCache>
                <c:formatCode>0</c:formatCode>
                <c:ptCount val="1"/>
                <c:pt idx="0">
                  <c:v>0</c:v>
                </c:pt>
              </c:numCache>
            </c:numRef>
          </c:xVal>
          <c:yVal>
            <c:numRef>
              <c:f>CIN!$D$22</c:f>
              <c:numCache>
                <c:formatCode>0</c:formatCode>
                <c:ptCount val="1"/>
                <c:pt idx="0">
                  <c:v>2300.0000000000005</c:v>
                </c:pt>
              </c:numCache>
            </c:numRef>
          </c:yVal>
          <c:smooth val="0"/>
        </c:ser>
        <c:ser>
          <c:idx val="4"/>
          <c:order val="4"/>
          <c:tx>
            <c:v>B</c:v>
          </c:tx>
          <c:spPr>
            <a:ln w="34925" cap="rnd">
              <a:solidFill>
                <a:schemeClr val="accent5"/>
              </a:solidFill>
              <a:round/>
            </a:ln>
            <a:effectLst>
              <a:outerShdw blurRad="57150" dist="19050" dir="5400000" algn="ctr" rotWithShape="0">
                <a:srgbClr val="000000">
                  <a:alpha val="63000"/>
                </a:srgbClr>
              </a:outerShdw>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fr-FR"/>
              </a:p>
            </c:tx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xVal>
            <c:numRef>
              <c:f>CIN!$C$23</c:f>
              <c:numCache>
                <c:formatCode>0</c:formatCode>
                <c:ptCount val="1"/>
                <c:pt idx="0">
                  <c:v>2503.9968051097826</c:v>
                </c:pt>
              </c:numCache>
            </c:numRef>
          </c:xVal>
          <c:yVal>
            <c:numRef>
              <c:f>CIN!$D$23</c:f>
              <c:numCache>
                <c:formatCode>0</c:formatCode>
                <c:ptCount val="1"/>
                <c:pt idx="0">
                  <c:v>2300.0000000000005</c:v>
                </c:pt>
              </c:numCache>
            </c:numRef>
          </c:yVal>
          <c:smooth val="0"/>
        </c:ser>
        <c:ser>
          <c:idx val="5"/>
          <c:order val="5"/>
          <c:tx>
            <c:v>J</c:v>
          </c:tx>
          <c:spPr>
            <a:ln w="34925" cap="rnd">
              <a:solidFill>
                <a:schemeClr val="accent6"/>
              </a:solidFill>
              <a:round/>
            </a:ln>
            <a:effectLst>
              <a:outerShdw blurRad="57150" dist="19050" dir="5400000" algn="ctr" rotWithShape="0">
                <a:srgbClr val="000000">
                  <a:alpha val="63000"/>
                </a:srgbClr>
              </a:outerShdw>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fr-FR"/>
              </a:p>
            </c:tx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xVal>
            <c:numRef>
              <c:f>CIN!$C$24</c:f>
              <c:numCache>
                <c:formatCode>0</c:formatCode>
                <c:ptCount val="1"/>
                <c:pt idx="0">
                  <c:v>1251.9984025548913</c:v>
                </c:pt>
              </c:numCache>
            </c:numRef>
          </c:xVal>
          <c:yVal>
            <c:numRef>
              <c:f>CIN!$D$24</c:f>
              <c:numCache>
                <c:formatCode>0</c:formatCode>
                <c:ptCount val="1"/>
                <c:pt idx="0">
                  <c:v>3450.0000000000009</c:v>
                </c:pt>
              </c:numCache>
            </c:numRef>
          </c:yVal>
          <c:smooth val="0"/>
        </c:ser>
        <c:ser>
          <c:idx val="6"/>
          <c:order val="6"/>
          <c:tx>
            <c:v>F</c:v>
          </c:tx>
          <c:spPr>
            <a:ln w="34925" cap="rnd">
              <a:solidFill>
                <a:schemeClr val="accent1">
                  <a:lumMod val="60000"/>
                </a:schemeClr>
              </a:solidFill>
              <a:round/>
            </a:ln>
            <a:effectLst>
              <a:outerShdw blurRad="57150" dist="19050" dir="5400000" algn="ctr" rotWithShape="0">
                <a:srgbClr val="000000">
                  <a:alpha val="63000"/>
                </a:srgbClr>
              </a:outerShdw>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fr-FR"/>
              </a:p>
            </c:tx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xVal>
            <c:numRef>
              <c:f>CIN!$C$25</c:f>
              <c:numCache>
                <c:formatCode>0</c:formatCode>
                <c:ptCount val="1"/>
                <c:pt idx="0">
                  <c:v>0</c:v>
                </c:pt>
              </c:numCache>
            </c:numRef>
          </c:xVal>
          <c:yVal>
            <c:numRef>
              <c:f>CIN!$D$25</c:f>
              <c:numCache>
                <c:formatCode>0</c:formatCode>
                <c:ptCount val="1"/>
                <c:pt idx="0">
                  <c:v>4600.0000000000009</c:v>
                </c:pt>
              </c:numCache>
            </c:numRef>
          </c:yVal>
          <c:smooth val="0"/>
        </c:ser>
        <c:ser>
          <c:idx val="7"/>
          <c:order val="7"/>
          <c:tx>
            <c:v>E</c:v>
          </c:tx>
          <c:spPr>
            <a:ln w="34925" cap="rnd">
              <a:solidFill>
                <a:schemeClr val="accent2">
                  <a:lumMod val="60000"/>
                </a:schemeClr>
              </a:solidFill>
              <a:round/>
            </a:ln>
            <a:effectLst>
              <a:outerShdw blurRad="57150" dist="19050" dir="5400000" algn="ctr" rotWithShape="0">
                <a:srgbClr val="000000">
                  <a:alpha val="63000"/>
                </a:srgbClr>
              </a:outerShdw>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fr-FR"/>
              </a:p>
            </c:tx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xVal>
            <c:numRef>
              <c:f>CIN!$C$26</c:f>
              <c:numCache>
                <c:formatCode>0</c:formatCode>
                <c:ptCount val="1"/>
                <c:pt idx="0">
                  <c:v>2503.9968051097826</c:v>
                </c:pt>
              </c:numCache>
            </c:numRef>
          </c:xVal>
          <c:yVal>
            <c:numRef>
              <c:f>CIN!$D$26</c:f>
              <c:numCache>
                <c:formatCode>0</c:formatCode>
                <c:ptCount val="1"/>
                <c:pt idx="0">
                  <c:v>4600.0000000000009</c:v>
                </c:pt>
              </c:numCache>
            </c:numRef>
          </c:yVal>
          <c:smooth val="0"/>
        </c:ser>
        <c:ser>
          <c:idx val="8"/>
          <c:order val="8"/>
          <c:tx>
            <c:v>K</c:v>
          </c:tx>
          <c:spPr>
            <a:ln w="34925" cap="rnd">
              <a:solidFill>
                <a:schemeClr val="accent3">
                  <a:lumMod val="60000"/>
                </a:schemeClr>
              </a:solidFill>
              <a:round/>
            </a:ln>
            <a:effectLst>
              <a:outerShdw blurRad="57150" dist="19050" dir="5400000" algn="ctr" rotWithShape="0">
                <a:srgbClr val="000000">
                  <a:alpha val="63000"/>
                </a:srgbClr>
              </a:outerShdw>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fr-FR"/>
              </a:p>
            </c:tx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xVal>
            <c:numRef>
              <c:f>CIN!$C$27</c:f>
              <c:numCache>
                <c:formatCode>0</c:formatCode>
                <c:ptCount val="1"/>
                <c:pt idx="0">
                  <c:v>1251.9984025548913</c:v>
                </c:pt>
              </c:numCache>
            </c:numRef>
          </c:xVal>
          <c:yVal>
            <c:numRef>
              <c:f>CIN!$D$27</c:f>
              <c:numCache>
                <c:formatCode>0</c:formatCode>
                <c:ptCount val="1"/>
                <c:pt idx="0">
                  <c:v>5750.0000000000018</c:v>
                </c:pt>
              </c:numCache>
            </c:numRef>
          </c:yVal>
          <c:smooth val="0"/>
        </c:ser>
        <c:ser>
          <c:idx val="9"/>
          <c:order val="9"/>
          <c:tx>
            <c:v>H</c:v>
          </c:tx>
          <c:spPr>
            <a:ln w="34925" cap="rnd">
              <a:solidFill>
                <a:schemeClr val="accent4">
                  <a:lumMod val="60000"/>
                </a:schemeClr>
              </a:solidFill>
              <a:round/>
            </a:ln>
            <a:effectLst>
              <a:outerShdw blurRad="57150" dist="19050" dir="5400000" algn="ctr" rotWithShape="0">
                <a:srgbClr val="000000">
                  <a:alpha val="63000"/>
                </a:srgbClr>
              </a:outerShdw>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fr-FR"/>
              </a:p>
            </c:tx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xVal>
            <c:numRef>
              <c:f>CIN!$C$28</c:f>
              <c:numCache>
                <c:formatCode>0</c:formatCode>
                <c:ptCount val="1"/>
                <c:pt idx="0">
                  <c:v>0</c:v>
                </c:pt>
              </c:numCache>
            </c:numRef>
          </c:xVal>
          <c:yVal>
            <c:numRef>
              <c:f>CIN!$D$28</c:f>
              <c:numCache>
                <c:formatCode>0</c:formatCode>
                <c:ptCount val="1"/>
                <c:pt idx="0">
                  <c:v>6900.0000000000018</c:v>
                </c:pt>
              </c:numCache>
            </c:numRef>
          </c:yVal>
          <c:smooth val="0"/>
        </c:ser>
        <c:ser>
          <c:idx val="10"/>
          <c:order val="10"/>
          <c:tx>
            <c:v>G</c:v>
          </c:tx>
          <c:spPr>
            <a:ln w="34925" cap="rnd">
              <a:solidFill>
                <a:schemeClr val="accent5">
                  <a:lumMod val="60000"/>
                </a:schemeClr>
              </a:solidFill>
              <a:round/>
            </a:ln>
            <a:effectLst>
              <a:outerShdw blurRad="57150" dist="19050" dir="5400000" algn="ctr" rotWithShape="0">
                <a:srgbClr val="000000">
                  <a:alpha val="63000"/>
                </a:srgbClr>
              </a:outerShdw>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fr-FR"/>
              </a:p>
            </c:tx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xVal>
            <c:numRef>
              <c:f>CIN!$C$29</c:f>
              <c:numCache>
                <c:formatCode>0</c:formatCode>
                <c:ptCount val="1"/>
                <c:pt idx="0">
                  <c:v>2503.9968051097826</c:v>
                </c:pt>
              </c:numCache>
            </c:numRef>
          </c:xVal>
          <c:yVal>
            <c:numRef>
              <c:f>CIN!$D$29</c:f>
              <c:numCache>
                <c:formatCode>0</c:formatCode>
                <c:ptCount val="1"/>
                <c:pt idx="0">
                  <c:v>6900.0000000000018</c:v>
                </c:pt>
              </c:numCache>
            </c:numRef>
          </c:yVal>
          <c:smooth val="0"/>
        </c:ser>
        <c:ser>
          <c:idx val="21"/>
          <c:order val="11"/>
          <c:tx>
            <c:v>Vrb</c:v>
          </c:tx>
          <c:spPr>
            <a:ln w="34925" cap="rnd">
              <a:solidFill>
                <a:schemeClr val="accent4">
                  <a:lumMod val="80000"/>
                </a:schemeClr>
              </a:solidFill>
              <a:round/>
            </a:ln>
            <a:effectLst>
              <a:outerShdw blurRad="57150" dist="19050" dir="5400000" algn="ctr" rotWithShape="0">
                <a:srgbClr val="000000">
                  <a:alpha val="63000"/>
                </a:srgbClr>
              </a:outerShdw>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fr-FR"/>
              </a:p>
            </c:tx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xVal>
            <c:numRef>
              <c:f>CIN!$C$32</c:f>
              <c:numCache>
                <c:formatCode>0</c:formatCode>
                <c:ptCount val="1"/>
                <c:pt idx="0">
                  <c:v>2129.7620747962915</c:v>
                </c:pt>
              </c:numCache>
            </c:numRef>
          </c:xVal>
          <c:yVal>
            <c:numRef>
              <c:f>CIN!$D$32</c:f>
              <c:numCache>
                <c:formatCode>0</c:formatCode>
                <c:ptCount val="1"/>
                <c:pt idx="0">
                  <c:v>1820.4706822026537</c:v>
                </c:pt>
              </c:numCache>
            </c:numRef>
          </c:yVal>
          <c:smooth val="0"/>
        </c:ser>
        <c:ser>
          <c:idx val="23"/>
          <c:order val="12"/>
          <c:tx>
            <c:v>Vrh</c:v>
          </c:tx>
          <c:spPr>
            <a:ln w="34925" cap="rnd">
              <a:solidFill>
                <a:schemeClr val="accent6">
                  <a:lumMod val="80000"/>
                </a:schemeClr>
              </a:solidFill>
              <a:round/>
            </a:ln>
            <a:effectLst>
              <a:outerShdw blurRad="57150" dist="19050" dir="5400000" algn="ctr" rotWithShape="0">
                <a:srgbClr val="000000">
                  <a:alpha val="63000"/>
                </a:srgbClr>
              </a:outerShdw>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fr-FR"/>
              </a:p>
            </c:tx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xVal>
            <c:numRef>
              <c:f>CIN!$C$33</c:f>
              <c:numCache>
                <c:formatCode>0</c:formatCode>
                <c:ptCount val="1"/>
                <c:pt idx="0">
                  <c:v>374.23473031349101</c:v>
                </c:pt>
              </c:numCache>
            </c:numRef>
          </c:xVal>
          <c:yVal>
            <c:numRef>
              <c:f>CIN!$D$33</c:f>
              <c:numCache>
                <c:formatCode>0</c:formatCode>
                <c:ptCount val="1"/>
                <c:pt idx="0">
                  <c:v>5079.5293177973472</c:v>
                </c:pt>
              </c:numCache>
            </c:numRef>
          </c:yVal>
          <c:smooth val="0"/>
        </c:ser>
        <c:ser>
          <c:idx val="24"/>
          <c:order val="13"/>
          <c:tx>
            <c:v>AB</c:v>
          </c:tx>
          <c:spPr>
            <a:ln w="34925" cap="rnd">
              <a:solidFill>
                <a:schemeClr val="accent1">
                  <a:lumMod val="60000"/>
                  <a:lumOff val="40000"/>
                </a:schemeClr>
              </a:solidFill>
              <a:round/>
            </a:ln>
            <a:effectLst>
              <a:outerShdw blurRad="57150" dist="19050" dir="5400000" algn="ctr" rotWithShape="0">
                <a:srgbClr val="000000">
                  <a:alpha val="63000"/>
                </a:srgbClr>
              </a:outerShdw>
            </a:effectLst>
          </c:spPr>
          <c:marker>
            <c:symbol val="none"/>
          </c:marker>
          <c:dLbls>
            <c:delete val="1"/>
          </c:dLbls>
          <c:xVal>
            <c:numRef>
              <c:f>(CIN!$C$23,CIN!$C$19)</c:f>
              <c:numCache>
                <c:formatCode>0</c:formatCode>
                <c:ptCount val="2"/>
                <c:pt idx="0">
                  <c:v>2503.9968051097826</c:v>
                </c:pt>
                <c:pt idx="1">
                  <c:v>0</c:v>
                </c:pt>
              </c:numCache>
            </c:numRef>
          </c:xVal>
          <c:yVal>
            <c:numRef>
              <c:f>(CIN!$D$23,CIN!$D$19)</c:f>
              <c:numCache>
                <c:formatCode>0</c:formatCode>
                <c:ptCount val="2"/>
                <c:pt idx="0">
                  <c:v>2300.0000000000005</c:v>
                </c:pt>
                <c:pt idx="1">
                  <c:v>0</c:v>
                </c:pt>
              </c:numCache>
            </c:numRef>
          </c:yVal>
          <c:smooth val="0"/>
        </c:ser>
        <c:ser>
          <c:idx val="25"/>
          <c:order val="14"/>
          <c:tx>
            <c:v>CD</c:v>
          </c:tx>
          <c:spPr>
            <a:ln w="34925" cap="rnd">
              <a:solidFill>
                <a:schemeClr val="accent2">
                  <a:lumMod val="60000"/>
                  <a:lumOff val="40000"/>
                </a:schemeClr>
              </a:solidFill>
              <a:round/>
            </a:ln>
            <a:effectLst>
              <a:outerShdw blurRad="57150" dist="19050" dir="5400000" algn="ctr" rotWithShape="0">
                <a:srgbClr val="000000">
                  <a:alpha val="63000"/>
                </a:srgbClr>
              </a:outerShdw>
            </a:effectLst>
          </c:spPr>
          <c:marker>
            <c:symbol val="none"/>
          </c:marker>
          <c:dLbls>
            <c:delete val="1"/>
          </c:dLbls>
          <c:xVal>
            <c:numRef>
              <c:f>(CIN!$C$20,CIN!$C$22)</c:f>
              <c:numCache>
                <c:formatCode>0</c:formatCode>
                <c:ptCount val="2"/>
                <c:pt idx="0">
                  <c:v>2503.9968051097826</c:v>
                </c:pt>
                <c:pt idx="1">
                  <c:v>0</c:v>
                </c:pt>
              </c:numCache>
            </c:numRef>
          </c:xVal>
          <c:yVal>
            <c:numRef>
              <c:f>(CIN!$D$20,CIN!$D$22)</c:f>
              <c:numCache>
                <c:formatCode>0</c:formatCode>
                <c:ptCount val="2"/>
                <c:pt idx="0">
                  <c:v>0</c:v>
                </c:pt>
                <c:pt idx="1">
                  <c:v>2300.0000000000005</c:v>
                </c:pt>
              </c:numCache>
            </c:numRef>
          </c:yVal>
          <c:smooth val="0"/>
        </c:ser>
        <c:ser>
          <c:idx val="26"/>
          <c:order val="15"/>
          <c:tx>
            <c:v>DE</c:v>
          </c:tx>
          <c:spPr>
            <a:ln w="34925" cap="rnd">
              <a:solidFill>
                <a:schemeClr val="accent3">
                  <a:lumMod val="60000"/>
                  <a:lumOff val="40000"/>
                </a:schemeClr>
              </a:solidFill>
              <a:round/>
            </a:ln>
            <a:effectLst>
              <a:outerShdw blurRad="57150" dist="19050" dir="5400000" algn="ctr" rotWithShape="0">
                <a:srgbClr val="000000">
                  <a:alpha val="63000"/>
                </a:srgbClr>
              </a:outerShdw>
            </a:effectLst>
          </c:spPr>
          <c:marker>
            <c:symbol val="none"/>
          </c:marker>
          <c:dLbls>
            <c:delete val="1"/>
          </c:dLbls>
          <c:xVal>
            <c:numRef>
              <c:f>(CIN!$C$26,CIN!$C$22)</c:f>
              <c:numCache>
                <c:formatCode>0</c:formatCode>
                <c:ptCount val="2"/>
                <c:pt idx="0">
                  <c:v>2503.9968051097826</c:v>
                </c:pt>
                <c:pt idx="1">
                  <c:v>0</c:v>
                </c:pt>
              </c:numCache>
            </c:numRef>
          </c:xVal>
          <c:yVal>
            <c:numRef>
              <c:f>(CIN!$D$26,CIN!$D$22)</c:f>
              <c:numCache>
                <c:formatCode>0</c:formatCode>
                <c:ptCount val="2"/>
                <c:pt idx="0">
                  <c:v>4600.0000000000009</c:v>
                </c:pt>
                <c:pt idx="1">
                  <c:v>2300.0000000000005</c:v>
                </c:pt>
              </c:numCache>
            </c:numRef>
          </c:yVal>
          <c:smooth val="0"/>
        </c:ser>
        <c:ser>
          <c:idx val="27"/>
          <c:order val="16"/>
          <c:tx>
            <c:v>BF</c:v>
          </c:tx>
          <c:spPr>
            <a:ln w="34925" cap="rnd">
              <a:solidFill>
                <a:schemeClr val="accent4">
                  <a:lumMod val="60000"/>
                  <a:lumOff val="40000"/>
                </a:schemeClr>
              </a:solidFill>
              <a:round/>
            </a:ln>
            <a:effectLst>
              <a:outerShdw blurRad="57150" dist="19050" dir="5400000" algn="ctr" rotWithShape="0">
                <a:srgbClr val="000000">
                  <a:alpha val="63000"/>
                </a:srgbClr>
              </a:outerShdw>
            </a:effectLst>
          </c:spPr>
          <c:marker>
            <c:symbol val="none"/>
          </c:marker>
          <c:dLbls>
            <c:delete val="1"/>
          </c:dLbls>
          <c:xVal>
            <c:numRef>
              <c:f>(CIN!$C$25,CIN!$C$23)</c:f>
              <c:numCache>
                <c:formatCode>0</c:formatCode>
                <c:ptCount val="2"/>
                <c:pt idx="0">
                  <c:v>0</c:v>
                </c:pt>
                <c:pt idx="1">
                  <c:v>2503.9968051097826</c:v>
                </c:pt>
              </c:numCache>
            </c:numRef>
          </c:xVal>
          <c:yVal>
            <c:numRef>
              <c:f>(CIN!$D$25,CIN!$D$23)</c:f>
              <c:numCache>
                <c:formatCode>0</c:formatCode>
                <c:ptCount val="2"/>
                <c:pt idx="0">
                  <c:v>4600.0000000000009</c:v>
                </c:pt>
                <c:pt idx="1">
                  <c:v>2300.0000000000005</c:v>
                </c:pt>
              </c:numCache>
            </c:numRef>
          </c:yVal>
          <c:smooth val="0"/>
        </c:ser>
        <c:ser>
          <c:idx val="28"/>
          <c:order val="17"/>
          <c:tx>
            <c:v>EH</c:v>
          </c:tx>
          <c:spPr>
            <a:ln w="34925" cap="rnd">
              <a:solidFill>
                <a:schemeClr val="accent5">
                  <a:lumMod val="60000"/>
                  <a:lumOff val="40000"/>
                </a:schemeClr>
              </a:solidFill>
              <a:round/>
            </a:ln>
            <a:effectLst>
              <a:outerShdw blurRad="57150" dist="19050" dir="5400000" algn="ctr" rotWithShape="0">
                <a:srgbClr val="000000">
                  <a:alpha val="63000"/>
                </a:srgbClr>
              </a:outerShdw>
            </a:effectLst>
          </c:spPr>
          <c:marker>
            <c:symbol val="none"/>
          </c:marker>
          <c:dLbls>
            <c:delete val="1"/>
          </c:dLbls>
          <c:xVal>
            <c:numRef>
              <c:f>(CIN!$C$28,CIN!$C$26)</c:f>
              <c:numCache>
                <c:formatCode>0</c:formatCode>
                <c:ptCount val="2"/>
                <c:pt idx="0">
                  <c:v>0</c:v>
                </c:pt>
                <c:pt idx="1">
                  <c:v>2503.9968051097826</c:v>
                </c:pt>
              </c:numCache>
            </c:numRef>
          </c:xVal>
          <c:yVal>
            <c:numRef>
              <c:f>(CIN!$D$28,CIN!$D$26)</c:f>
              <c:numCache>
                <c:formatCode>0</c:formatCode>
                <c:ptCount val="2"/>
                <c:pt idx="0">
                  <c:v>6900.0000000000018</c:v>
                </c:pt>
                <c:pt idx="1">
                  <c:v>4600.0000000000009</c:v>
                </c:pt>
              </c:numCache>
            </c:numRef>
          </c:yVal>
          <c:smooth val="0"/>
        </c:ser>
        <c:ser>
          <c:idx val="29"/>
          <c:order val="18"/>
          <c:tx>
            <c:v>FG</c:v>
          </c:tx>
          <c:spPr>
            <a:ln w="34925" cap="rnd">
              <a:solidFill>
                <a:schemeClr val="accent6">
                  <a:lumMod val="60000"/>
                  <a:lumOff val="40000"/>
                </a:schemeClr>
              </a:solidFill>
              <a:round/>
            </a:ln>
            <a:effectLst>
              <a:outerShdw blurRad="57150" dist="19050" dir="5400000" algn="ctr" rotWithShape="0">
                <a:srgbClr val="000000">
                  <a:alpha val="63000"/>
                </a:srgbClr>
              </a:outerShdw>
            </a:effectLst>
          </c:spPr>
          <c:marker>
            <c:symbol val="none"/>
          </c:marker>
          <c:dLbls>
            <c:delete val="1"/>
          </c:dLbls>
          <c:xVal>
            <c:numRef>
              <c:f>(CIN!$C$29,CIN!$C$25)</c:f>
              <c:numCache>
                <c:formatCode>0</c:formatCode>
                <c:ptCount val="2"/>
                <c:pt idx="0">
                  <c:v>2503.9968051097826</c:v>
                </c:pt>
                <c:pt idx="1">
                  <c:v>0</c:v>
                </c:pt>
              </c:numCache>
            </c:numRef>
          </c:xVal>
          <c:yVal>
            <c:numRef>
              <c:f>(CIN!$D$29,CIN!$D$25)</c:f>
              <c:numCache>
                <c:formatCode>0</c:formatCode>
                <c:ptCount val="2"/>
                <c:pt idx="0">
                  <c:v>6900.0000000000018</c:v>
                </c:pt>
                <c:pt idx="1">
                  <c:v>4600.0000000000009</c:v>
                </c:pt>
              </c:numCache>
            </c:numRef>
          </c:yVal>
          <c:smooth val="0"/>
        </c:ser>
        <c:ser>
          <c:idx val="11"/>
          <c:order val="19"/>
          <c:tx>
            <c:v>Vrb/Vrh</c:v>
          </c:tx>
          <c:spPr>
            <a:ln w="34925" cap="rnd">
              <a:solidFill>
                <a:schemeClr val="accent6">
                  <a:lumMod val="60000"/>
                </a:schemeClr>
              </a:solidFill>
              <a:round/>
            </a:ln>
            <a:effectLst>
              <a:outerShdw blurRad="57150" dist="19050" dir="5400000" algn="ctr" rotWithShape="0">
                <a:srgbClr val="000000">
                  <a:alpha val="63000"/>
                </a:srgbClr>
              </a:outerShdw>
            </a:effectLst>
          </c:spPr>
          <c:marker>
            <c:symbol val="none"/>
          </c:marker>
          <c:dLbls>
            <c:delete val="1"/>
          </c:dLbls>
          <c:xVal>
            <c:numRef>
              <c:f>CIN!$C$32:$C$33</c:f>
              <c:numCache>
                <c:formatCode>0</c:formatCode>
                <c:ptCount val="2"/>
                <c:pt idx="0">
                  <c:v>2129.7620747962915</c:v>
                </c:pt>
                <c:pt idx="1">
                  <c:v>374.23473031349101</c:v>
                </c:pt>
              </c:numCache>
            </c:numRef>
          </c:xVal>
          <c:yVal>
            <c:numRef>
              <c:f>CIN!$D$32:$D$33</c:f>
              <c:numCache>
                <c:formatCode>0</c:formatCode>
                <c:ptCount val="2"/>
                <c:pt idx="0">
                  <c:v>1820.4706822026537</c:v>
                </c:pt>
                <c:pt idx="1">
                  <c:v>5079.5293177973472</c:v>
                </c:pt>
              </c:numCache>
            </c:numRef>
          </c:yVal>
          <c:smooth val="0"/>
        </c:ser>
        <c:dLbls>
          <c:dLblPos val="t"/>
          <c:showLegendKey val="0"/>
          <c:showVal val="1"/>
          <c:showCatName val="0"/>
          <c:showSerName val="0"/>
          <c:showPercent val="0"/>
          <c:showBubbleSize val="0"/>
        </c:dLbls>
        <c:axId val="349750304"/>
        <c:axId val="349746776"/>
      </c:scatterChart>
      <c:valAx>
        <c:axId val="349750304"/>
        <c:scaling>
          <c:orientation val="minMax"/>
        </c:scaling>
        <c:delete val="0"/>
        <c:axPos val="b"/>
        <c:majorGridlines>
          <c:spPr>
            <a:ln w="9525" cap="flat" cmpd="sng" algn="ctr">
              <a:solidFill>
                <a:schemeClr val="lt1">
                  <a:lumMod val="95000"/>
                  <a:alpha val="10000"/>
                </a:schemeClr>
              </a:solidFill>
              <a:round/>
            </a:ln>
            <a:effectLst/>
          </c:spPr>
        </c:majorGridlines>
        <c:numFmt formatCode="0" sourceLinked="1"/>
        <c:majorTickMark val="none"/>
        <c:minorTickMark val="none"/>
        <c:tickLblPos val="nextTo"/>
        <c:spPr>
          <a:noFill/>
          <a:ln w="9525" cap="flat" cmpd="sng" algn="ctr">
            <a:solidFill>
              <a:schemeClr val="lt1">
                <a:lumMod val="95000"/>
                <a:alpha val="10000"/>
              </a:schemeClr>
            </a:solidFill>
            <a:round/>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fr-FR"/>
          </a:p>
        </c:txPr>
        <c:crossAx val="349746776"/>
        <c:crosses val="autoZero"/>
        <c:crossBetween val="midCat"/>
      </c:valAx>
      <c:valAx>
        <c:axId val="349746776"/>
        <c:scaling>
          <c:orientation val="minMax"/>
        </c:scaling>
        <c:delete val="0"/>
        <c:axPos val="l"/>
        <c:majorGridlines>
          <c:spPr>
            <a:ln w="9525" cap="flat" cmpd="sng" algn="ctr">
              <a:solidFill>
                <a:schemeClr val="lt1">
                  <a:lumMod val="95000"/>
                  <a:alpha val="10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fr-FR"/>
          </a:p>
        </c:txPr>
        <c:crossAx val="349750304"/>
        <c:crosses val="autoZero"/>
        <c:crossBetween val="midCat"/>
      </c:valAx>
      <c:spPr>
        <a:noFill/>
        <a:ln>
          <a:noFill/>
        </a:ln>
        <a:effectLst/>
      </c:spPr>
    </c:plotArea>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315542544417807E-2"/>
          <c:y val="0.11530421929093637"/>
          <c:w val="0.80760714617321439"/>
          <c:h val="0.73585056311124852"/>
        </c:manualLayout>
      </c:layout>
      <c:scatterChart>
        <c:scatterStyle val="lineMarker"/>
        <c:varyColors val="0"/>
        <c:ser>
          <c:idx val="0"/>
          <c:order val="0"/>
          <c:tx>
            <c:v>Force vérin</c:v>
          </c:tx>
          <c:spPr>
            <a:ln w="34925" cap="rnd">
              <a:solidFill>
                <a:schemeClr val="accent1"/>
              </a:solidFill>
              <a:round/>
            </a:ln>
            <a:effectLst>
              <a:outerShdw blurRad="57150" dist="19050" dir="5400000" algn="ctr" rotWithShape="0">
                <a:srgbClr val="000000">
                  <a:alpha val="63000"/>
                </a:srgbClr>
              </a:outerShdw>
            </a:effectLst>
          </c:spPr>
          <c:marker>
            <c:symbol val="none"/>
          </c:marker>
          <c:xVal>
            <c:numRef>
              <c:f>Table3!$B$19:$B$51</c:f>
              <c:numCache>
                <c:formatCode>General</c:formatCode>
                <c:ptCount val="33"/>
                <c:pt idx="0">
                  <c:v>852</c:v>
                </c:pt>
                <c:pt idx="1">
                  <c:v>1104</c:v>
                </c:pt>
                <c:pt idx="2">
                  <c:v>1356</c:v>
                </c:pt>
                <c:pt idx="3">
                  <c:v>1608</c:v>
                </c:pt>
                <c:pt idx="4">
                  <c:v>1860</c:v>
                </c:pt>
                <c:pt idx="5">
                  <c:v>2112</c:v>
                </c:pt>
                <c:pt idx="6">
                  <c:v>2364</c:v>
                </c:pt>
                <c:pt idx="7">
                  <c:v>2616</c:v>
                </c:pt>
                <c:pt idx="8">
                  <c:v>2868</c:v>
                </c:pt>
                <c:pt idx="9">
                  <c:v>3120</c:v>
                </c:pt>
                <c:pt idx="10">
                  <c:v>3372</c:v>
                </c:pt>
                <c:pt idx="11">
                  <c:v>3624</c:v>
                </c:pt>
                <c:pt idx="12">
                  <c:v>3876</c:v>
                </c:pt>
                <c:pt idx="13">
                  <c:v>4128</c:v>
                </c:pt>
                <c:pt idx="14">
                  <c:v>4380</c:v>
                </c:pt>
                <c:pt idx="15">
                  <c:v>4632</c:v>
                </c:pt>
                <c:pt idx="16">
                  <c:v>4884</c:v>
                </c:pt>
                <c:pt idx="17">
                  <c:v>5136</c:v>
                </c:pt>
                <c:pt idx="18">
                  <c:v>5388</c:v>
                </c:pt>
                <c:pt idx="19">
                  <c:v>5640</c:v>
                </c:pt>
                <c:pt idx="20">
                  <c:v>5892</c:v>
                </c:pt>
                <c:pt idx="21">
                  <c:v>6144</c:v>
                </c:pt>
                <c:pt idx="22">
                  <c:v>6396</c:v>
                </c:pt>
                <c:pt idx="23">
                  <c:v>6648</c:v>
                </c:pt>
                <c:pt idx="24">
                  <c:v>6900</c:v>
                </c:pt>
                <c:pt idx="25">
                  <c:v>7152</c:v>
                </c:pt>
                <c:pt idx="26">
                  <c:v>7404</c:v>
                </c:pt>
                <c:pt idx="27">
                  <c:v>7656</c:v>
                </c:pt>
                <c:pt idx="28">
                  <c:v>7908</c:v>
                </c:pt>
                <c:pt idx="29">
                  <c:v>8160</c:v>
                </c:pt>
                <c:pt idx="30">
                  <c:v>8412</c:v>
                </c:pt>
                <c:pt idx="31">
                  <c:v>8664</c:v>
                </c:pt>
                <c:pt idx="32">
                  <c:v>8900</c:v>
                </c:pt>
              </c:numCache>
            </c:numRef>
          </c:xVal>
          <c:yVal>
            <c:numRef>
              <c:f>Table3!$D$19:$D$51</c:f>
              <c:numCache>
                <c:formatCode>0.00</c:formatCode>
                <c:ptCount val="33"/>
                <c:pt idx="0">
                  <c:v>33220.329863337996</c:v>
                </c:pt>
                <c:pt idx="1">
                  <c:v>28105.347653882451</c:v>
                </c:pt>
                <c:pt idx="2">
                  <c:v>24685.405289111928</c:v>
                </c:pt>
                <c:pt idx="3">
                  <c:v>22278.5206559912</c:v>
                </c:pt>
                <c:pt idx="4">
                  <c:v>20522.940750102167</c:v>
                </c:pt>
                <c:pt idx="5">
                  <c:v>19209.460052745966</c:v>
                </c:pt>
                <c:pt idx="6">
                  <c:v>18209.168620235905</c:v>
                </c:pt>
                <c:pt idx="7">
                  <c:v>17438.737880680736</c:v>
                </c:pt>
                <c:pt idx="8">
                  <c:v>16842.299808442662</c:v>
                </c:pt>
                <c:pt idx="9">
                  <c:v>16381.353268636238</c:v>
                </c:pt>
                <c:pt idx="10">
                  <c:v>16028.844651677709</c:v>
                </c:pt>
                <c:pt idx="11">
                  <c:v>15765.553157199525</c:v>
                </c:pt>
                <c:pt idx="12">
                  <c:v>15577.815851072197</c:v>
                </c:pt>
                <c:pt idx="13">
                  <c:v>15456.069329078729</c:v>
                </c:pt>
                <c:pt idx="14">
                  <c:v>15393.913724304255</c:v>
                </c:pt>
                <c:pt idx="15">
                  <c:v>15387.530463282263</c:v>
                </c:pt>
                <c:pt idx="16">
                  <c:v>15435.358932300482</c:v>
                </c:pt>
                <c:pt idx="17">
                  <c:v>15537.984941779709</c:v>
                </c:pt>
                <c:pt idx="18">
                  <c:v>15698.230171723375</c:v>
                </c:pt>
                <c:pt idx="19">
                  <c:v>15921.466857474225</c:v>
                </c:pt>
                <c:pt idx="20">
                  <c:v>16216.226051512316</c:v>
                </c:pt>
                <c:pt idx="21">
                  <c:v>16595.235718529755</c:v>
                </c:pt>
                <c:pt idx="22">
                  <c:v>17077.14407341892</c:v>
                </c:pt>
                <c:pt idx="23">
                  <c:v>17689.411392561444</c:v>
                </c:pt>
                <c:pt idx="24">
                  <c:v>18473.321334150613</c:v>
                </c:pt>
                <c:pt idx="25">
                  <c:v>19493.096108898899</c:v>
                </c:pt>
                <c:pt idx="26">
                  <c:v>20853.582663486988</c:v>
                </c:pt>
                <c:pt idx="27">
                  <c:v>22737.592503094897</c:v>
                </c:pt>
                <c:pt idx="28">
                  <c:v>25494.111602053199</c:v>
                </c:pt>
                <c:pt idx="29">
                  <c:v>29881.973865030493</c:v>
                </c:pt>
                <c:pt idx="30">
                  <c:v>37921.798464656902</c:v>
                </c:pt>
                <c:pt idx="31">
                  <c:v>57391.304992089266</c:v>
                </c:pt>
                <c:pt idx="32">
                  <c:v>151163.87215557575</c:v>
                </c:pt>
              </c:numCache>
            </c:numRef>
          </c:yVal>
          <c:smooth val="0"/>
        </c:ser>
        <c:dLbls>
          <c:showLegendKey val="0"/>
          <c:showVal val="0"/>
          <c:showCatName val="0"/>
          <c:showSerName val="0"/>
          <c:showPercent val="0"/>
          <c:showBubbleSize val="0"/>
        </c:dLbls>
        <c:axId val="349752264"/>
        <c:axId val="349747168"/>
      </c:scatterChart>
      <c:scatterChart>
        <c:scatterStyle val="lineMarker"/>
        <c:varyColors val="0"/>
        <c:ser>
          <c:idx val="1"/>
          <c:order val="1"/>
          <c:tx>
            <c:v>Longueur vérin</c:v>
          </c:tx>
          <c:spPr>
            <a:ln w="34925" cap="rnd">
              <a:solidFill>
                <a:schemeClr val="accent2"/>
              </a:solidFill>
              <a:round/>
            </a:ln>
            <a:effectLst>
              <a:outerShdw blurRad="57150" dist="19050" dir="5400000" algn="ctr" rotWithShape="0">
                <a:srgbClr val="000000">
                  <a:alpha val="63000"/>
                </a:srgbClr>
              </a:outerShdw>
            </a:effectLst>
          </c:spPr>
          <c:marker>
            <c:symbol val="none"/>
          </c:marker>
          <c:xVal>
            <c:numRef>
              <c:f>Table3!$B$19:$B$51</c:f>
              <c:numCache>
                <c:formatCode>General</c:formatCode>
                <c:ptCount val="33"/>
                <c:pt idx="0">
                  <c:v>852</c:v>
                </c:pt>
                <c:pt idx="1">
                  <c:v>1104</c:v>
                </c:pt>
                <c:pt idx="2">
                  <c:v>1356</c:v>
                </c:pt>
                <c:pt idx="3">
                  <c:v>1608</c:v>
                </c:pt>
                <c:pt idx="4">
                  <c:v>1860</c:v>
                </c:pt>
                <c:pt idx="5">
                  <c:v>2112</c:v>
                </c:pt>
                <c:pt idx="6">
                  <c:v>2364</c:v>
                </c:pt>
                <c:pt idx="7">
                  <c:v>2616</c:v>
                </c:pt>
                <c:pt idx="8">
                  <c:v>2868</c:v>
                </c:pt>
                <c:pt idx="9">
                  <c:v>3120</c:v>
                </c:pt>
                <c:pt idx="10">
                  <c:v>3372</c:v>
                </c:pt>
                <c:pt idx="11">
                  <c:v>3624</c:v>
                </c:pt>
                <c:pt idx="12">
                  <c:v>3876</c:v>
                </c:pt>
                <c:pt idx="13">
                  <c:v>4128</c:v>
                </c:pt>
                <c:pt idx="14">
                  <c:v>4380</c:v>
                </c:pt>
                <c:pt idx="15">
                  <c:v>4632</c:v>
                </c:pt>
                <c:pt idx="16">
                  <c:v>4884</c:v>
                </c:pt>
                <c:pt idx="17">
                  <c:v>5136</c:v>
                </c:pt>
                <c:pt idx="18">
                  <c:v>5388</c:v>
                </c:pt>
                <c:pt idx="19">
                  <c:v>5640</c:v>
                </c:pt>
                <c:pt idx="20">
                  <c:v>5892</c:v>
                </c:pt>
                <c:pt idx="21">
                  <c:v>6144</c:v>
                </c:pt>
                <c:pt idx="22">
                  <c:v>6396</c:v>
                </c:pt>
                <c:pt idx="23">
                  <c:v>6648</c:v>
                </c:pt>
                <c:pt idx="24">
                  <c:v>6900</c:v>
                </c:pt>
                <c:pt idx="25">
                  <c:v>7152</c:v>
                </c:pt>
                <c:pt idx="26">
                  <c:v>7404</c:v>
                </c:pt>
                <c:pt idx="27">
                  <c:v>7656</c:v>
                </c:pt>
                <c:pt idx="28">
                  <c:v>7908</c:v>
                </c:pt>
                <c:pt idx="29">
                  <c:v>8160</c:v>
                </c:pt>
                <c:pt idx="30">
                  <c:v>8412</c:v>
                </c:pt>
                <c:pt idx="31">
                  <c:v>8664</c:v>
                </c:pt>
                <c:pt idx="32">
                  <c:v>8900</c:v>
                </c:pt>
              </c:numCache>
            </c:numRef>
          </c:xVal>
          <c:yVal>
            <c:numRef>
              <c:f>Table3!$C$19:$C$51</c:f>
              <c:numCache>
                <c:formatCode>0.00</c:formatCode>
                <c:ptCount val="33"/>
                <c:pt idx="0">
                  <c:v>2284.7917412893485</c:v>
                </c:pt>
                <c:pt idx="1">
                  <c:v>2316.0002835023806</c:v>
                </c:pt>
                <c:pt idx="2">
                  <c:v>2350.9188819209639</c:v>
                </c:pt>
                <c:pt idx="3">
                  <c:v>2389.3581633004201</c:v>
                </c:pt>
                <c:pt idx="4">
                  <c:v>2431.1244290837017</c:v>
                </c:pt>
                <c:pt idx="5">
                  <c:v>2476.022573544501</c:v>
                </c:pt>
                <c:pt idx="6">
                  <c:v>2523.8585962038132</c:v>
                </c:pt>
                <c:pt idx="7">
                  <c:v>2574.4416858995392</c:v>
                </c:pt>
                <c:pt idx="8">
                  <c:v>2627.5858803131723</c:v>
                </c:pt>
                <c:pt idx="9">
                  <c:v>2683.1113242664519</c:v>
                </c:pt>
                <c:pt idx="10">
                  <c:v>2740.8451629233082</c:v>
                </c:pt>
                <c:pt idx="11">
                  <c:v>2800.6221130052054</c:v>
                </c:pt>
                <c:pt idx="12">
                  <c:v>2862.2847573800905</c:v>
                </c:pt>
                <c:pt idx="13">
                  <c:v>2925.6836070970403</c:v>
                </c:pt>
                <c:pt idx="14">
                  <c:v>2990.6769711813399</c:v>
                </c:pt>
                <c:pt idx="15">
                  <c:v>3057.1306691512327</c:v>
                </c:pt>
                <c:pt idx="16">
                  <c:v>3124.917614906517</c:v>
                </c:pt>
                <c:pt idx="17">
                  <c:v>3193.9172937687044</c:v>
                </c:pt>
                <c:pt idx="18">
                  <c:v>3264.0151471875711</c:v>
                </c:pt>
                <c:pt idx="19">
                  <c:v>3335.1018719022645</c:v>
                </c:pt>
                <c:pt idx="20">
                  <c:v>3407.0726318380548</c:v>
                </c:pt>
                <c:pt idx="21">
                  <c:v>3479.826171100894</c:v>
                </c:pt>
                <c:pt idx="22">
                  <c:v>3553.2638040233755</c:v>
                </c:pt>
                <c:pt idx="23">
                  <c:v>3627.288241530568</c:v>
                </c:pt>
                <c:pt idx="24">
                  <c:v>3701.8021891331755</c:v>
                </c:pt>
                <c:pt idx="25">
                  <c:v>3776.7066154342783</c:v>
                </c:pt>
                <c:pt idx="26">
                  <c:v>3851.8985318528003</c:v>
                </c:pt>
                <c:pt idx="27">
                  <c:v>3927.268026897354</c:v>
                </c:pt>
                <c:pt idx="28">
                  <c:v>4002.6941274963665</c:v>
                </c:pt>
                <c:pt idx="29">
                  <c:v>4078.0387442985384</c:v>
                </c:pt>
                <c:pt idx="30">
                  <c:v>4153.1373389926057</c:v>
                </c:pt>
                <c:pt idx="31">
                  <c:v>4227.7836479317421</c:v>
                </c:pt>
                <c:pt idx="32">
                  <c:v>4297.037866840993</c:v>
                </c:pt>
              </c:numCache>
            </c:numRef>
          </c:yVal>
          <c:smooth val="0"/>
        </c:ser>
        <c:dLbls>
          <c:showLegendKey val="0"/>
          <c:showVal val="0"/>
          <c:showCatName val="0"/>
          <c:showSerName val="0"/>
          <c:showPercent val="0"/>
          <c:showBubbleSize val="0"/>
        </c:dLbls>
        <c:axId val="349751088"/>
        <c:axId val="349751480"/>
      </c:scatterChart>
      <c:valAx>
        <c:axId val="349752264"/>
        <c:scaling>
          <c:orientation val="minMax"/>
        </c:scaling>
        <c:delete val="0"/>
        <c:axPos val="b"/>
        <c:majorGridlines>
          <c:spPr>
            <a:ln w="9525" cap="flat" cmpd="sng" algn="ctr">
              <a:solidFill>
                <a:schemeClr val="lt1">
                  <a:lumMod val="95000"/>
                  <a:alpha val="10000"/>
                </a:schemeClr>
              </a:solidFill>
              <a:round/>
            </a:ln>
            <a:effectLst/>
          </c:spPr>
        </c:majorGridlines>
        <c:title>
          <c:tx>
            <c:rich>
              <a:bodyPr rot="0" spcFirstLastPara="1" vertOverflow="ellipsis" vert="horz" wrap="square" anchor="ctr" anchorCtr="1"/>
              <a:lstStyle/>
              <a:p>
                <a:pPr>
                  <a:defRPr sz="900" b="1" i="0" u="none" strike="noStrike" kern="1200" cap="all" baseline="0">
                    <a:solidFill>
                      <a:schemeClr val="lt1">
                        <a:lumMod val="85000"/>
                      </a:schemeClr>
                    </a:solidFill>
                    <a:latin typeface="+mn-lt"/>
                    <a:ea typeface="+mn-ea"/>
                    <a:cs typeface="+mn-cs"/>
                  </a:defRPr>
                </a:pPr>
                <a:r>
                  <a:rPr lang="fr-FR"/>
                  <a:t>Hauteur table (mm)</a:t>
                </a:r>
              </a:p>
            </c:rich>
          </c:tx>
          <c:layout>
            <c:manualLayout>
              <c:xMode val="edge"/>
              <c:yMode val="edge"/>
              <c:x val="0.42281926168624895"/>
              <c:y val="0.94339820729955925"/>
            </c:manualLayout>
          </c:layout>
          <c:overlay val="0"/>
          <c:spPr>
            <a:noFill/>
            <a:ln>
              <a:noFill/>
            </a:ln>
            <a:effectLst/>
          </c:spPr>
          <c:txPr>
            <a:bodyPr rot="0" spcFirstLastPara="1" vertOverflow="ellipsis" vert="horz" wrap="square" anchor="ctr" anchorCtr="1"/>
            <a:lstStyle/>
            <a:p>
              <a:pPr>
                <a:defRPr sz="900" b="1" i="0" u="none" strike="noStrike" kern="1200" cap="all" baseline="0">
                  <a:solidFill>
                    <a:schemeClr val="lt1">
                      <a:lumMod val="85000"/>
                    </a:schemeClr>
                  </a:solidFill>
                  <a:latin typeface="+mn-lt"/>
                  <a:ea typeface="+mn-ea"/>
                  <a:cs typeface="+mn-cs"/>
                </a:defRPr>
              </a:pPr>
              <a:endParaRPr lang="fr-FR"/>
            </a:p>
          </c:txPr>
        </c:title>
        <c:numFmt formatCode="General" sourceLinked="1"/>
        <c:majorTickMark val="none"/>
        <c:minorTickMark val="none"/>
        <c:tickLblPos val="nextTo"/>
        <c:spPr>
          <a:noFill/>
          <a:ln>
            <a:noFill/>
          </a:ln>
          <a:effectLst/>
        </c:spPr>
        <c:txPr>
          <a:bodyPr rot="0" spcFirstLastPara="1" vertOverflow="ellipsis" wrap="square" anchor="ctr" anchorCtr="1"/>
          <a:lstStyle/>
          <a:p>
            <a:pPr>
              <a:defRPr sz="900" b="0" i="0" u="none" strike="noStrike" kern="1200" baseline="0">
                <a:solidFill>
                  <a:schemeClr val="lt1">
                    <a:lumMod val="85000"/>
                  </a:schemeClr>
                </a:solidFill>
                <a:latin typeface="+mn-lt"/>
                <a:ea typeface="+mn-ea"/>
                <a:cs typeface="+mn-cs"/>
              </a:defRPr>
            </a:pPr>
            <a:endParaRPr lang="fr-FR"/>
          </a:p>
        </c:txPr>
        <c:crossAx val="349747168"/>
        <c:crosses val="autoZero"/>
        <c:crossBetween val="midCat"/>
      </c:valAx>
      <c:valAx>
        <c:axId val="349747168"/>
        <c:scaling>
          <c:orientation val="minMax"/>
        </c:scaling>
        <c:delete val="0"/>
        <c:axPos val="l"/>
        <c:majorGridlines>
          <c:spPr>
            <a:ln w="9525" cap="flat" cmpd="sng" algn="ctr">
              <a:solidFill>
                <a:schemeClr val="lt1">
                  <a:lumMod val="95000"/>
                  <a:alpha val="10000"/>
                </a:schemeClr>
              </a:solidFill>
              <a:round/>
            </a:ln>
            <a:effectLst/>
          </c:spPr>
        </c:majorGridlines>
        <c:title>
          <c:tx>
            <c:rich>
              <a:bodyPr rot="-5400000" spcFirstLastPara="1" vertOverflow="ellipsis" vert="horz" wrap="square" anchor="ctr" anchorCtr="1"/>
              <a:lstStyle/>
              <a:p>
                <a:pPr>
                  <a:defRPr sz="900" b="1" i="0" u="none" strike="noStrike" kern="1200" cap="all" baseline="0">
                    <a:solidFill>
                      <a:schemeClr val="lt1">
                        <a:lumMod val="85000"/>
                      </a:schemeClr>
                    </a:solidFill>
                    <a:latin typeface="+mn-lt"/>
                    <a:ea typeface="+mn-ea"/>
                    <a:cs typeface="+mn-cs"/>
                  </a:defRPr>
                </a:pPr>
                <a:r>
                  <a:rPr lang="fr-FR"/>
                  <a:t>Force vérin (N)</a:t>
                </a:r>
              </a:p>
            </c:rich>
          </c:tx>
          <c:layout>
            <c:manualLayout>
              <c:xMode val="edge"/>
              <c:yMode val="edge"/>
              <c:x val="7.829977628635347E-3"/>
              <c:y val="0.46540968542454203"/>
            </c:manualLayout>
          </c:layout>
          <c:overlay val="0"/>
          <c:spPr>
            <a:noFill/>
            <a:ln>
              <a:noFill/>
            </a:ln>
            <a:effectLst/>
          </c:spPr>
          <c:txPr>
            <a:bodyPr rot="-5400000" spcFirstLastPara="1" vertOverflow="ellipsis" vert="horz" wrap="square" anchor="ctr" anchorCtr="1"/>
            <a:lstStyle/>
            <a:p>
              <a:pPr>
                <a:defRPr sz="900" b="1" i="0" u="none" strike="noStrike" kern="1200" cap="all" baseline="0">
                  <a:solidFill>
                    <a:schemeClr val="lt1">
                      <a:lumMod val="85000"/>
                    </a:schemeClr>
                  </a:solidFill>
                  <a:latin typeface="+mn-lt"/>
                  <a:ea typeface="+mn-ea"/>
                  <a:cs typeface="+mn-cs"/>
                </a:defRPr>
              </a:pPr>
              <a:endParaRPr lang="fr-FR"/>
            </a:p>
          </c:txPr>
        </c:title>
        <c:numFmt formatCode="0" sourceLinked="0"/>
        <c:majorTickMark val="none"/>
        <c:minorTickMark val="none"/>
        <c:tickLblPos val="nextTo"/>
        <c:spPr>
          <a:noFill/>
          <a:ln>
            <a:noFill/>
          </a:ln>
          <a:effectLst/>
        </c:spPr>
        <c:txPr>
          <a:bodyPr rot="0" spcFirstLastPara="1" vertOverflow="ellipsis" wrap="square" anchor="ctr" anchorCtr="1"/>
          <a:lstStyle/>
          <a:p>
            <a:pPr>
              <a:defRPr sz="900" b="0" i="0" u="none" strike="noStrike" kern="1200" baseline="0">
                <a:solidFill>
                  <a:schemeClr val="lt1">
                    <a:lumMod val="85000"/>
                  </a:schemeClr>
                </a:solidFill>
                <a:latin typeface="+mn-lt"/>
                <a:ea typeface="+mn-ea"/>
                <a:cs typeface="+mn-cs"/>
              </a:defRPr>
            </a:pPr>
            <a:endParaRPr lang="fr-FR"/>
          </a:p>
        </c:txPr>
        <c:crossAx val="349752264"/>
        <c:crosses val="autoZero"/>
        <c:crossBetween val="midCat"/>
      </c:valAx>
      <c:valAx>
        <c:axId val="349751088"/>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fr-FR"/>
          </a:p>
        </c:txPr>
        <c:crossAx val="349751480"/>
        <c:crosses val="autoZero"/>
        <c:crossBetween val="midCat"/>
      </c:valAx>
      <c:valAx>
        <c:axId val="349751480"/>
        <c:scaling>
          <c:orientation val="minMax"/>
        </c:scaling>
        <c:delete val="0"/>
        <c:axPos val="r"/>
        <c:title>
          <c:tx>
            <c:rich>
              <a:bodyPr rot="-5400000" spcFirstLastPara="1" vertOverflow="ellipsis" vert="horz" wrap="square" anchor="ctr" anchorCtr="1"/>
              <a:lstStyle/>
              <a:p>
                <a:pPr>
                  <a:defRPr sz="900" b="1" i="0" u="none" strike="noStrike" kern="1200" cap="all" baseline="0">
                    <a:solidFill>
                      <a:schemeClr val="lt1">
                        <a:lumMod val="85000"/>
                      </a:schemeClr>
                    </a:solidFill>
                    <a:latin typeface="+mn-lt"/>
                    <a:ea typeface="+mn-ea"/>
                    <a:cs typeface="+mn-cs"/>
                  </a:defRPr>
                </a:pPr>
                <a:r>
                  <a:rPr lang="fr-FR"/>
                  <a:t>Longueur vérin (mm)</a:t>
                </a:r>
              </a:p>
            </c:rich>
          </c:tx>
          <c:layout>
            <c:manualLayout>
              <c:xMode val="edge"/>
              <c:yMode val="edge"/>
              <c:x val="0.97203685109831073"/>
              <c:y val="0.3542983542151571"/>
            </c:manualLayout>
          </c:layout>
          <c:overlay val="0"/>
          <c:spPr>
            <a:noFill/>
            <a:ln>
              <a:noFill/>
            </a:ln>
            <a:effectLst/>
          </c:spPr>
          <c:txPr>
            <a:bodyPr rot="-5400000" spcFirstLastPara="1" vertOverflow="ellipsis" vert="horz" wrap="square" anchor="ctr" anchorCtr="1"/>
            <a:lstStyle/>
            <a:p>
              <a:pPr>
                <a:defRPr sz="900" b="1" i="0" u="none" strike="noStrike" kern="1200" cap="all" baseline="0">
                  <a:solidFill>
                    <a:schemeClr val="lt1">
                      <a:lumMod val="85000"/>
                    </a:schemeClr>
                  </a:solidFill>
                  <a:latin typeface="+mn-lt"/>
                  <a:ea typeface="+mn-ea"/>
                  <a:cs typeface="+mn-cs"/>
                </a:defRPr>
              </a:pPr>
              <a:endParaRPr lang="fr-FR"/>
            </a:p>
          </c:txPr>
        </c:title>
        <c:numFmt formatCode="0.00" sourceLinked="1"/>
        <c:majorTickMark val="none"/>
        <c:minorTickMark val="none"/>
        <c:tickLblPos val="nextTo"/>
        <c:spPr>
          <a:noFill/>
          <a:ln>
            <a:noFill/>
          </a:ln>
          <a:effectLst/>
        </c:spPr>
        <c:txPr>
          <a:bodyPr rot="0" spcFirstLastPara="1" vertOverflow="ellipsis" wrap="square" anchor="ctr" anchorCtr="1"/>
          <a:lstStyle/>
          <a:p>
            <a:pPr>
              <a:defRPr sz="900" b="0" i="0" u="none" strike="noStrike" kern="1200" baseline="0">
                <a:solidFill>
                  <a:schemeClr val="lt1">
                    <a:lumMod val="85000"/>
                  </a:schemeClr>
                </a:solidFill>
                <a:latin typeface="+mn-lt"/>
                <a:ea typeface="+mn-ea"/>
                <a:cs typeface="+mn-cs"/>
              </a:defRPr>
            </a:pPr>
            <a:endParaRPr lang="fr-FR"/>
          </a:p>
        </c:txPr>
        <c:crossAx val="349751088"/>
        <c:crosses val="max"/>
        <c:crossBetween val="midCat"/>
      </c:valAx>
      <c:spPr>
        <a:noFill/>
        <a:ln>
          <a:noFill/>
        </a:ln>
        <a:effectLst/>
      </c:spPr>
    </c:plotArea>
    <c:legend>
      <c:legendPos val="b"/>
      <c:layout>
        <c:manualLayout>
          <c:xMode val="edge"/>
          <c:yMode val="edge"/>
          <c:x val="0.38391586492532642"/>
          <c:y val="4.0728552875894872E-2"/>
          <c:w val="0.20670419809718985"/>
          <c:h val="4.7687072196136604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fr-FR"/>
        </a:p>
      </c:txPr>
    </c:legend>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fr-FR"/>
    </a:p>
  </c:txPr>
  <c:printSettings>
    <c:headerFooter alignWithMargins="0"/>
    <c:pageMargins b="0.984251969" l="0.78740157499999996" r="0.78740157499999996" t="0.984251969" header="0.4921259845" footer="0.492125984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315542544417807E-2"/>
          <c:y val="0.11530421929093637"/>
          <c:w val="0.80760714617321439"/>
          <c:h val="0.73585056311124852"/>
        </c:manualLayout>
      </c:layout>
      <c:scatterChart>
        <c:scatterStyle val="lineMarker"/>
        <c:varyColors val="0"/>
        <c:ser>
          <c:idx val="0"/>
          <c:order val="0"/>
          <c:tx>
            <c:v>Force vérin</c:v>
          </c:tx>
          <c:spPr>
            <a:ln w="3175">
              <a:solidFill>
                <a:srgbClr val="FF0000"/>
              </a:solidFill>
              <a:prstDash val="solid"/>
            </a:ln>
          </c:spPr>
          <c:marker>
            <c:symbol val="none"/>
          </c:marker>
          <c:xVal>
            <c:numRef>
              <c:f>'Table double'!$B$20:$B$52</c:f>
              <c:numCache>
                <c:formatCode>General</c:formatCode>
                <c:ptCount val="33"/>
                <c:pt idx="0">
                  <c:v>185</c:v>
                </c:pt>
                <c:pt idx="1">
                  <c:v>220</c:v>
                </c:pt>
                <c:pt idx="2">
                  <c:v>255</c:v>
                </c:pt>
                <c:pt idx="3">
                  <c:v>290</c:v>
                </c:pt>
                <c:pt idx="4">
                  <c:v>325</c:v>
                </c:pt>
                <c:pt idx="5">
                  <c:v>360</c:v>
                </c:pt>
                <c:pt idx="6">
                  <c:v>395</c:v>
                </c:pt>
                <c:pt idx="7">
                  <c:v>430</c:v>
                </c:pt>
                <c:pt idx="8">
                  <c:v>465</c:v>
                </c:pt>
                <c:pt idx="9">
                  <c:v>500</c:v>
                </c:pt>
                <c:pt idx="10">
                  <c:v>535</c:v>
                </c:pt>
                <c:pt idx="11">
                  <c:v>570</c:v>
                </c:pt>
                <c:pt idx="12">
                  <c:v>605</c:v>
                </c:pt>
                <c:pt idx="13">
                  <c:v>640</c:v>
                </c:pt>
                <c:pt idx="14">
                  <c:v>675</c:v>
                </c:pt>
                <c:pt idx="15">
                  <c:v>710</c:v>
                </c:pt>
                <c:pt idx="16">
                  <c:v>745</c:v>
                </c:pt>
                <c:pt idx="17">
                  <c:v>780</c:v>
                </c:pt>
                <c:pt idx="18">
                  <c:v>815</c:v>
                </c:pt>
                <c:pt idx="19">
                  <c:v>850</c:v>
                </c:pt>
                <c:pt idx="20">
                  <c:v>885</c:v>
                </c:pt>
                <c:pt idx="21">
                  <c:v>920</c:v>
                </c:pt>
                <c:pt idx="22">
                  <c:v>955</c:v>
                </c:pt>
                <c:pt idx="23">
                  <c:v>990</c:v>
                </c:pt>
                <c:pt idx="24">
                  <c:v>1025</c:v>
                </c:pt>
                <c:pt idx="25">
                  <c:v>1060</c:v>
                </c:pt>
                <c:pt idx="26">
                  <c:v>1095</c:v>
                </c:pt>
                <c:pt idx="27">
                  <c:v>1130</c:v>
                </c:pt>
                <c:pt idx="28">
                  <c:v>1165</c:v>
                </c:pt>
                <c:pt idx="29">
                  <c:v>1200</c:v>
                </c:pt>
                <c:pt idx="30">
                  <c:v>1235</c:v>
                </c:pt>
                <c:pt idx="31">
                  <c:v>1270</c:v>
                </c:pt>
                <c:pt idx="32">
                  <c:v>1305</c:v>
                </c:pt>
              </c:numCache>
            </c:numRef>
          </c:xVal>
          <c:yVal>
            <c:numRef>
              <c:f>'Table double'!$D$20:$D$52</c:f>
              <c:numCache>
                <c:formatCode>0.00</c:formatCode>
                <c:ptCount val="33"/>
                <c:pt idx="0">
                  <c:v>20361.885968362942</c:v>
                </c:pt>
                <c:pt idx="1">
                  <c:v>18766.771355248686</c:v>
                </c:pt>
                <c:pt idx="2">
                  <c:v>17452.750521867107</c:v>
                </c:pt>
                <c:pt idx="3">
                  <c:v>16354.765059274332</c:v>
                </c:pt>
                <c:pt idx="4">
                  <c:v>15426.207285036606</c:v>
                </c:pt>
                <c:pt idx="5">
                  <c:v>14632.81507393534</c:v>
                </c:pt>
                <c:pt idx="6">
                  <c:v>13948.841654000167</c:v>
                </c:pt>
                <c:pt idx="7">
                  <c:v>13354.568910894781</c:v>
                </c:pt>
                <c:pt idx="8">
                  <c:v>12834.644527964967</c:v>
                </c:pt>
                <c:pt idx="9">
                  <c:v>12376.941003190284</c:v>
                </c:pt>
                <c:pt idx="10">
                  <c:v>11971.754794863389</c:v>
                </c:pt>
                <c:pt idx="11">
                  <c:v>11611.2327721027</c:v>
                </c:pt>
                <c:pt idx="12">
                  <c:v>11288.953994339612</c:v>
                </c:pt>
                <c:pt idx="13">
                  <c:v>10999.619771915752</c:v>
                </c:pt>
                <c:pt idx="14">
                  <c:v>10738.820574838142</c:v>
                </c:pt>
                <c:pt idx="15">
                  <c:v>10502.858369559897</c:v>
                </c:pt>
                <c:pt idx="16">
                  <c:v>10288.609520973536</c:v>
                </c:pt>
                <c:pt idx="17">
                  <c:v>10093.417773546156</c:v>
                </c:pt>
                <c:pt idx="18">
                  <c:v>9915.0097971365158</c:v>
                </c:pt>
                <c:pt idx="19">
                  <c:v>9751.4278313354043</c:v>
                </c:pt>
                <c:pt idx="20">
                  <c:v>9600.9753922194359</c:v>
                </c:pt>
                <c:pt idx="21">
                  <c:v>9462.1730133723831</c:v>
                </c:pt>
                <c:pt idx="22">
                  <c:v>9333.7217063384433</c:v>
                </c:pt>
                <c:pt idx="23">
                  <c:v>9214.4723270304657</c:v>
                </c:pt>
                <c:pt idx="24">
                  <c:v>9103.3993761707734</c:v>
                </c:pt>
                <c:pt idx="25">
                  <c:v>8999.5779729059359</c:v>
                </c:pt>
                <c:pt idx="26">
                  <c:v>8902.1628304714777</c:v>
                </c:pt>
                <c:pt idx="27">
                  <c:v>8810.3680176024354</c:v>
                </c:pt>
                <c:pt idx="28">
                  <c:v>8723.4460625432348</c:v>
                </c:pt>
                <c:pt idx="29">
                  <c:v>8640.6644429154894</c:v>
                </c:pt>
                <c:pt idx="30">
                  <c:v>8561.2764838051262</c:v>
                </c:pt>
                <c:pt idx="31">
                  <c:v>8484.481689791779</c:v>
                </c:pt>
                <c:pt idx="32">
                  <c:v>8409.3665243275082</c:v>
                </c:pt>
              </c:numCache>
            </c:numRef>
          </c:yVal>
          <c:smooth val="0"/>
        </c:ser>
        <c:dLbls>
          <c:showLegendKey val="0"/>
          <c:showVal val="0"/>
          <c:showCatName val="0"/>
          <c:showSerName val="0"/>
          <c:showPercent val="0"/>
          <c:showBubbleSize val="0"/>
        </c:dLbls>
        <c:axId val="349751872"/>
        <c:axId val="349749520"/>
      </c:scatterChart>
      <c:scatterChart>
        <c:scatterStyle val="lineMarker"/>
        <c:varyColors val="0"/>
        <c:ser>
          <c:idx val="1"/>
          <c:order val="1"/>
          <c:tx>
            <c:v>Longueur vérin</c:v>
          </c:tx>
          <c:spPr>
            <a:ln w="3175">
              <a:solidFill>
                <a:srgbClr val="3366FF"/>
              </a:solidFill>
              <a:prstDash val="solid"/>
            </a:ln>
          </c:spPr>
          <c:marker>
            <c:symbol val="none"/>
          </c:marker>
          <c:xVal>
            <c:numRef>
              <c:f>'Table double'!$B$20:$B$52</c:f>
              <c:numCache>
                <c:formatCode>General</c:formatCode>
                <c:ptCount val="33"/>
                <c:pt idx="0">
                  <c:v>185</c:v>
                </c:pt>
                <c:pt idx="1">
                  <c:v>220</c:v>
                </c:pt>
                <c:pt idx="2">
                  <c:v>255</c:v>
                </c:pt>
                <c:pt idx="3">
                  <c:v>290</c:v>
                </c:pt>
                <c:pt idx="4">
                  <c:v>325</c:v>
                </c:pt>
                <c:pt idx="5">
                  <c:v>360</c:v>
                </c:pt>
                <c:pt idx="6">
                  <c:v>395</c:v>
                </c:pt>
                <c:pt idx="7">
                  <c:v>430</c:v>
                </c:pt>
                <c:pt idx="8">
                  <c:v>465</c:v>
                </c:pt>
                <c:pt idx="9">
                  <c:v>500</c:v>
                </c:pt>
                <c:pt idx="10">
                  <c:v>535</c:v>
                </c:pt>
                <c:pt idx="11">
                  <c:v>570</c:v>
                </c:pt>
                <c:pt idx="12">
                  <c:v>605</c:v>
                </c:pt>
                <c:pt idx="13">
                  <c:v>640</c:v>
                </c:pt>
                <c:pt idx="14">
                  <c:v>675</c:v>
                </c:pt>
                <c:pt idx="15">
                  <c:v>710</c:v>
                </c:pt>
                <c:pt idx="16">
                  <c:v>745</c:v>
                </c:pt>
                <c:pt idx="17">
                  <c:v>780</c:v>
                </c:pt>
                <c:pt idx="18">
                  <c:v>815</c:v>
                </c:pt>
                <c:pt idx="19">
                  <c:v>850</c:v>
                </c:pt>
                <c:pt idx="20">
                  <c:v>885</c:v>
                </c:pt>
                <c:pt idx="21">
                  <c:v>920</c:v>
                </c:pt>
                <c:pt idx="22">
                  <c:v>955</c:v>
                </c:pt>
                <c:pt idx="23">
                  <c:v>990</c:v>
                </c:pt>
                <c:pt idx="24">
                  <c:v>1025</c:v>
                </c:pt>
                <c:pt idx="25">
                  <c:v>1060</c:v>
                </c:pt>
                <c:pt idx="26">
                  <c:v>1095</c:v>
                </c:pt>
                <c:pt idx="27">
                  <c:v>1130</c:v>
                </c:pt>
                <c:pt idx="28">
                  <c:v>1165</c:v>
                </c:pt>
                <c:pt idx="29">
                  <c:v>1200</c:v>
                </c:pt>
                <c:pt idx="30">
                  <c:v>1235</c:v>
                </c:pt>
                <c:pt idx="31">
                  <c:v>1270</c:v>
                </c:pt>
                <c:pt idx="32">
                  <c:v>1305</c:v>
                </c:pt>
              </c:numCache>
            </c:numRef>
          </c:xVal>
          <c:yVal>
            <c:numRef>
              <c:f>'Table double'!$C$20:$C$52</c:f>
              <c:numCache>
                <c:formatCode>0.00</c:formatCode>
                <c:ptCount val="33"/>
                <c:pt idx="0">
                  <c:v>346.07620661351712</c:v>
                </c:pt>
                <c:pt idx="1">
                  <c:v>350.5718101634809</c:v>
                </c:pt>
                <c:pt idx="2">
                  <c:v>355.42675075219637</c:v>
                </c:pt>
                <c:pt idx="3">
                  <c:v>360.62663562187055</c:v>
                </c:pt>
                <c:pt idx="4">
                  <c:v>366.15690684688605</c:v>
                </c:pt>
                <c:pt idx="5">
                  <c:v>372.00298606171572</c:v>
                </c:pt>
                <c:pt idx="6">
                  <c:v>378.15040176225085</c:v>
                </c:pt>
                <c:pt idx="7">
                  <c:v>384.58489876099952</c:v>
                </c:pt>
                <c:pt idx="8">
                  <c:v>391.2925300780322</c:v>
                </c:pt>
                <c:pt idx="9">
                  <c:v>398.2597320933063</c:v>
                </c:pt>
                <c:pt idx="10">
                  <c:v>405.47338417829661</c:v>
                </c:pt>
                <c:pt idx="11">
                  <c:v>412.9208542811744</c:v>
                </c:pt>
                <c:pt idx="12">
                  <c:v>420.59003208094748</c:v>
                </c:pt>
                <c:pt idx="13">
                  <c:v>428.46935137493159</c:v>
                </c:pt>
                <c:pt idx="14">
                  <c:v>436.54780334338312</c:v>
                </c:pt>
                <c:pt idx="15">
                  <c:v>444.81494226605577</c:v>
                </c:pt>
                <c:pt idx="16">
                  <c:v>453.26088516625566</c:v>
                </c:pt>
                <c:pt idx="17">
                  <c:v>461.87630674433524</c:v>
                </c:pt>
                <c:pt idx="18">
                  <c:v>470.65243084755406</c:v>
                </c:pt>
                <c:pt idx="19">
                  <c:v>479.58101961795751</c:v>
                </c:pt>
                <c:pt idx="20">
                  <c:v>488.65436137422381</c:v>
                </c:pt>
                <c:pt idx="21">
                  <c:v>497.86525822710365</c:v>
                </c:pt>
                <c:pt idx="22">
                  <c:v>507.20701441223719</c:v>
                </c:pt>
                <c:pt idx="23">
                  <c:v>516.67342636341596</c:v>
                </c:pt>
                <c:pt idx="24">
                  <c:v>526.25877566508052</c:v>
                </c:pt>
                <c:pt idx="25">
                  <c:v>535.95782624824471</c:v>
                </c:pt>
                <c:pt idx="26">
                  <c:v>545.76582758323923</c:v>
                </c:pt>
                <c:pt idx="27">
                  <c:v>555.67852626667377</c:v>
                </c:pt>
                <c:pt idx="28">
                  <c:v>565.69218945674731</c:v>
                </c:pt>
                <c:pt idx="29">
                  <c:v>575.80364536367119</c:v>
                </c:pt>
                <c:pt idx="30">
                  <c:v>586.01034897813167</c:v>
                </c:pt>
                <c:pt idx="31">
                  <c:v>596.31048644763143</c:v>
                </c:pt>
                <c:pt idx="32">
                  <c:v>606.70314109485093</c:v>
                </c:pt>
              </c:numCache>
            </c:numRef>
          </c:yVal>
          <c:smooth val="0"/>
        </c:ser>
        <c:dLbls>
          <c:showLegendKey val="0"/>
          <c:showVal val="0"/>
          <c:showCatName val="0"/>
          <c:showSerName val="0"/>
          <c:showPercent val="0"/>
          <c:showBubbleSize val="0"/>
        </c:dLbls>
        <c:axId val="349745600"/>
        <c:axId val="349745992"/>
      </c:scatterChart>
      <c:valAx>
        <c:axId val="349751872"/>
        <c:scaling>
          <c:orientation val="minMax"/>
        </c:scaling>
        <c:delete val="0"/>
        <c:axPos val="b"/>
        <c:majorGridlines>
          <c:spPr>
            <a:ln w="3175">
              <a:solidFill>
                <a:srgbClr val="C0C0C0"/>
              </a:solidFill>
              <a:prstDash val="solid"/>
            </a:ln>
          </c:spPr>
        </c:majorGridlines>
        <c:title>
          <c:tx>
            <c:rich>
              <a:bodyPr/>
              <a:lstStyle/>
              <a:p>
                <a:pPr>
                  <a:defRPr sz="800" b="1" i="0" u="none" strike="noStrike" baseline="0">
                    <a:solidFill>
                      <a:srgbClr val="000000"/>
                    </a:solidFill>
                    <a:latin typeface="Arial"/>
                    <a:ea typeface="Arial"/>
                    <a:cs typeface="Arial"/>
                  </a:defRPr>
                </a:pPr>
                <a:r>
                  <a:rPr lang="fr-FR"/>
                  <a:t>Hauteur table (mm)</a:t>
                </a:r>
              </a:p>
            </c:rich>
          </c:tx>
          <c:layout>
            <c:manualLayout>
              <c:xMode val="edge"/>
              <c:yMode val="edge"/>
              <c:x val="0.42281926168624895"/>
              <c:y val="0.9433982072995592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fr-FR"/>
          </a:p>
        </c:txPr>
        <c:crossAx val="349749520"/>
        <c:crosses val="autoZero"/>
        <c:crossBetween val="midCat"/>
      </c:valAx>
      <c:valAx>
        <c:axId val="349749520"/>
        <c:scaling>
          <c:orientation val="minMax"/>
        </c:scaling>
        <c:delete val="0"/>
        <c:axPos val="l"/>
        <c:majorGridlines>
          <c:spPr>
            <a:ln w="3175">
              <a:solidFill>
                <a:srgbClr val="C0C0C0"/>
              </a:solidFill>
              <a:prstDash val="solid"/>
            </a:ln>
          </c:spPr>
        </c:majorGridlines>
        <c:title>
          <c:tx>
            <c:rich>
              <a:bodyPr/>
              <a:lstStyle/>
              <a:p>
                <a:pPr>
                  <a:defRPr sz="800" b="1" i="0" u="none" strike="noStrike" baseline="0">
                    <a:solidFill>
                      <a:srgbClr val="000000"/>
                    </a:solidFill>
                    <a:latin typeface="Arial"/>
                    <a:ea typeface="Arial"/>
                    <a:cs typeface="Arial"/>
                  </a:defRPr>
                </a:pPr>
                <a:r>
                  <a:rPr lang="fr-FR"/>
                  <a:t>Force vérin (N)</a:t>
                </a:r>
              </a:p>
            </c:rich>
          </c:tx>
          <c:layout>
            <c:manualLayout>
              <c:xMode val="edge"/>
              <c:yMode val="edge"/>
              <c:x val="7.829977628635347E-3"/>
              <c:y val="0.4654096854245420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fr-FR"/>
          </a:p>
        </c:txPr>
        <c:crossAx val="349751872"/>
        <c:crosses val="autoZero"/>
        <c:crossBetween val="midCat"/>
      </c:valAx>
      <c:valAx>
        <c:axId val="349745600"/>
        <c:scaling>
          <c:orientation val="minMax"/>
        </c:scaling>
        <c:delete val="1"/>
        <c:axPos val="b"/>
        <c:numFmt formatCode="General" sourceLinked="1"/>
        <c:majorTickMark val="out"/>
        <c:minorTickMark val="none"/>
        <c:tickLblPos val="nextTo"/>
        <c:crossAx val="349745992"/>
        <c:crosses val="autoZero"/>
        <c:crossBetween val="midCat"/>
      </c:valAx>
      <c:valAx>
        <c:axId val="349745992"/>
        <c:scaling>
          <c:orientation val="minMax"/>
        </c:scaling>
        <c:delete val="0"/>
        <c:axPos val="r"/>
        <c:title>
          <c:tx>
            <c:rich>
              <a:bodyPr/>
              <a:lstStyle/>
              <a:p>
                <a:pPr>
                  <a:defRPr sz="800" b="1" i="0" u="none" strike="noStrike" baseline="0">
                    <a:solidFill>
                      <a:srgbClr val="000000"/>
                    </a:solidFill>
                    <a:latin typeface="Arial"/>
                    <a:ea typeface="Arial"/>
                    <a:cs typeface="Arial"/>
                  </a:defRPr>
                </a:pPr>
                <a:r>
                  <a:rPr lang="fr-FR"/>
                  <a:t>Longueur vérin (mm)</a:t>
                </a:r>
              </a:p>
            </c:rich>
          </c:tx>
          <c:layout>
            <c:manualLayout>
              <c:xMode val="edge"/>
              <c:yMode val="edge"/>
              <c:x val="0.97203685109831073"/>
              <c:y val="0.3542983542151571"/>
            </c:manualLayout>
          </c:layout>
          <c:overlay val="0"/>
          <c:spPr>
            <a:noFill/>
            <a:ln w="25400">
              <a:noFill/>
            </a:ln>
          </c:spPr>
        </c:title>
        <c:numFmt formatCode="0.00" sourceLinked="1"/>
        <c:majorTickMark val="cross"/>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fr-FR"/>
          </a:p>
        </c:txPr>
        <c:crossAx val="349745600"/>
        <c:crosses val="max"/>
        <c:crossBetween val="midCat"/>
      </c:valAx>
      <c:spPr>
        <a:solidFill>
          <a:srgbClr val="FFFFFF"/>
        </a:solidFill>
        <a:ln w="12700">
          <a:solidFill>
            <a:srgbClr val="808080"/>
          </a:solidFill>
          <a:prstDash val="solid"/>
        </a:ln>
      </c:spPr>
    </c:plotArea>
    <c:legend>
      <c:legendPos val="r"/>
      <c:layout>
        <c:manualLayout>
          <c:xMode val="edge"/>
          <c:yMode val="edge"/>
          <c:x val="0.37500043710123782"/>
          <c:y val="1.7828222135785873E-2"/>
          <c:w val="0.2361113863230016"/>
          <c:h val="4.2139434139130252E-2"/>
        </c:manualLayout>
      </c:layout>
      <c:overlay val="0"/>
      <c:spPr>
        <a:solidFill>
          <a:srgbClr val="FFFFFF"/>
        </a:solidFill>
        <a:ln w="25400">
          <a:noFill/>
        </a:ln>
      </c:spPr>
      <c:txPr>
        <a:bodyPr/>
        <a:lstStyle/>
        <a:p>
          <a:pPr>
            <a:defRPr sz="850" b="0" i="0" u="none" strike="noStrike"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3175">
      <a:solidFill>
        <a:srgbClr val="000000"/>
      </a:solidFill>
      <a:prstDash val="solid"/>
    </a:ln>
  </c:spPr>
  <c:txPr>
    <a:bodyPr/>
    <a:lstStyle/>
    <a:p>
      <a:pPr>
        <a:defRPr sz="1525" b="0" i="0" u="none" strike="noStrike" baseline="0">
          <a:solidFill>
            <a:srgbClr val="000000"/>
          </a:solidFill>
          <a:latin typeface="Arial"/>
          <a:ea typeface="Arial"/>
          <a:cs typeface="Arial"/>
        </a:defRPr>
      </a:pPr>
      <a:endParaRPr lang="fr-FR"/>
    </a:p>
  </c:txPr>
  <c:printSettings>
    <c:headerFooter alignWithMargins="0"/>
    <c:pageMargins b="0.984251969" l="0.78740157499999996" r="0.78740157499999996" t="0.984251969" header="0.4921259845" footer="0.4921259845"/>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33">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9525" cap="flat" cmpd="sng" algn="ctr">
        <a:solidFill>
          <a:schemeClr val="lt1">
            <a:lumMod val="95000"/>
            <a:alpha val="10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328">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gradFill>
        <a:gsLst>
          <a:gs pos="100000">
            <a:schemeClr val="dk1">
              <a:lumMod val="95000"/>
              <a:lumOff val="5000"/>
            </a:schemeClr>
          </a:gs>
          <a:gs pos="0">
            <a:schemeClr val="dk1">
              <a:lumMod val="75000"/>
              <a:lumOff val="25000"/>
            </a:schemeClr>
          </a:gs>
        </a:gsLst>
        <a:path path="circle">
          <a:fillToRect l="50000" t="50000" r="50000" b="50000"/>
        </a:path>
      </a:gradFill>
      <a:ln w="9525">
        <a:solidFill>
          <a:schemeClr val="dk1">
            <a:lumMod val="75000"/>
            <a:lumOff val="25000"/>
          </a:schemeClr>
        </a:solidFill>
      </a:ln>
    </cs:spPr>
  </cs:downBar>
  <cs:dropLine>
    <cs:lnRef idx="0"/>
    <cs:fillRef idx="0"/>
    <cs:effectRef idx="0"/>
    <cs:fontRef idx="minor">
      <a:schemeClr val="tx1"/>
    </cs:fontRef>
    <cs:spPr>
      <a:ln w="9525" cap="flat" cmpd="sng" algn="ctr">
        <a:solidFill>
          <a:schemeClr val="lt1"/>
        </a:solidFill>
        <a:round/>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cap="flat" cmpd="sng" algn="ctr">
        <a:solidFill>
          <a:schemeClr val="lt1"/>
        </a:solidFill>
        <a:round/>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gradFill>
        <a:gsLst>
          <a:gs pos="100000">
            <a:schemeClr val="lt1">
              <a:lumMod val="85000"/>
            </a:schemeClr>
          </a:gs>
          <a:gs pos="0">
            <a:schemeClr val="lt1"/>
          </a:gs>
        </a:gsLst>
        <a:path path="circle">
          <a:fillToRect l="50000" t="50000" r="50000" b="50000"/>
        </a:path>
      </a:gradFill>
      <a:ln w="9525" cap="flat" cmpd="sng" algn="ctr">
        <a:solidFill>
          <a:schemeClr val="lt1"/>
        </a:solidFill>
        <a:round/>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trlProps/ctrlProp1.xml><?xml version="1.0" encoding="utf-8"?>
<formControlPr xmlns="http://schemas.microsoft.com/office/spreadsheetml/2009/9/main" objectType="Spin" dx="26" fmlaLink="$C$4" inc="100" max="10000" min="1700" page="10" val="8000"/>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oneCellAnchor>
    <xdr:from>
      <xdr:col>9</xdr:col>
      <xdr:colOff>181120</xdr:colOff>
      <xdr:row>10</xdr:row>
      <xdr:rowOff>117847</xdr:rowOff>
    </xdr:from>
    <xdr:ext cx="2381405" cy="2623149"/>
    <xdr:grpSp>
      <xdr:nvGrpSpPr>
        <xdr:cNvPr id="2" name="Group 931"/>
        <xdr:cNvGrpSpPr>
          <a:grpSpLocks/>
        </xdr:cNvGrpSpPr>
      </xdr:nvGrpSpPr>
      <xdr:grpSpPr bwMode="auto">
        <a:xfrm rot="16200000">
          <a:off x="7245908" y="2219919"/>
          <a:ext cx="2623149" cy="2381405"/>
          <a:chOff x="464" y="856"/>
          <a:chExt cx="267" cy="248"/>
        </a:xfrm>
      </xdr:grpSpPr>
      <xdr:sp macro="" textlink="">
        <xdr:nvSpPr>
          <xdr:cNvPr id="3" name="AutoShape 132"/>
          <xdr:cNvSpPr>
            <a:spLocks noChangeAspect="1" noChangeArrowheads="1"/>
          </xdr:cNvSpPr>
        </xdr:nvSpPr>
        <xdr:spPr bwMode="auto">
          <a:xfrm rot="12713663">
            <a:off x="522" y="968"/>
            <a:ext cx="105" cy="34"/>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600 w 21600"/>
              <a:gd name="T13" fmla="*/ 4320 h 21600"/>
              <a:gd name="T14" fmla="*/ 17200 w 21600"/>
              <a:gd name="T15" fmla="*/ 17280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Oval 116"/>
          <xdr:cNvSpPr>
            <a:spLocks noChangeAspect="1" noChangeArrowheads="1"/>
          </xdr:cNvSpPr>
        </xdr:nvSpPr>
        <xdr:spPr bwMode="auto">
          <a:xfrm>
            <a:off x="552" y="962"/>
            <a:ext cx="10" cy="10"/>
          </a:xfrm>
          <a:prstGeom prst="ellipse">
            <a:avLst/>
          </a:prstGeom>
          <a:solidFill>
            <a:srgbClr xmlns:mc="http://schemas.openxmlformats.org/markup-compatibility/2006" xmlns:a14="http://schemas.microsoft.com/office/drawing/2010/main" val="FF0000" mc:Ignorable="a14" a14:legacySpreadsheetColorIndex="10"/>
          </a:solidFill>
          <a:ln w="9525">
            <a:solidFill>
              <a:srgbClr xmlns:mc="http://schemas.openxmlformats.org/markup-compatibility/2006" xmlns:a14="http://schemas.microsoft.com/office/drawing/2010/main" val="FF0000" mc:Ignorable="a14" a14:legacySpreadsheetColorIndex="10"/>
            </a:solidFill>
            <a:round/>
            <a:headEnd/>
            <a:tailEnd/>
          </a:ln>
        </xdr:spPr>
      </xdr:sp>
      <xdr:sp macro="" textlink="">
        <xdr:nvSpPr>
          <xdr:cNvPr id="5" name="Line 117"/>
          <xdr:cNvSpPr>
            <a:spLocks noChangeAspect="1" noChangeShapeType="1"/>
          </xdr:cNvSpPr>
        </xdr:nvSpPr>
        <xdr:spPr bwMode="auto">
          <a:xfrm>
            <a:off x="484" y="948"/>
            <a:ext cx="165" cy="106"/>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 name="Text Box 118"/>
          <xdr:cNvSpPr txBox="1">
            <a:spLocks noChangeAspect="1" noChangeArrowheads="1"/>
          </xdr:cNvSpPr>
        </xdr:nvSpPr>
        <xdr:spPr bwMode="auto">
          <a:xfrm>
            <a:off x="565" y="928"/>
            <a:ext cx="20" cy="3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1" i="0" u="none" strike="noStrike" baseline="0">
                <a:solidFill>
                  <a:srgbClr val="FF0000"/>
                </a:solidFill>
                <a:latin typeface="Times New Roman" panose="02020603050405020304" pitchFamily="18" charset="0"/>
                <a:cs typeface="Times New Roman" panose="02020603050405020304" pitchFamily="18" charset="0"/>
              </a:rPr>
              <a:t>Vrh</a:t>
            </a:r>
            <a:endParaRPr lang="fr-FR" b="1">
              <a:latin typeface="Times New Roman" panose="02020603050405020304" pitchFamily="18" charset="0"/>
              <a:cs typeface="Times New Roman" panose="02020603050405020304" pitchFamily="18" charset="0"/>
            </a:endParaRPr>
          </a:p>
        </xdr:txBody>
      </xdr:sp>
      <xdr:sp macro="" textlink="">
        <xdr:nvSpPr>
          <xdr:cNvPr id="7" name="Oval 119"/>
          <xdr:cNvSpPr>
            <a:spLocks noChangeAspect="1" noChangeArrowheads="1"/>
          </xdr:cNvSpPr>
        </xdr:nvSpPr>
        <xdr:spPr bwMode="auto">
          <a:xfrm>
            <a:off x="618" y="1034"/>
            <a:ext cx="9" cy="7"/>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8" name="Oval 120"/>
          <xdr:cNvSpPr>
            <a:spLocks noChangeAspect="1" noChangeArrowheads="1"/>
          </xdr:cNvSpPr>
        </xdr:nvSpPr>
        <xdr:spPr bwMode="auto">
          <a:xfrm>
            <a:off x="478" y="944"/>
            <a:ext cx="8" cy="7"/>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9" name="Text Box 121"/>
          <xdr:cNvSpPr txBox="1">
            <a:spLocks noChangeAspect="1" noChangeArrowheads="1"/>
          </xdr:cNvSpPr>
        </xdr:nvSpPr>
        <xdr:spPr bwMode="auto">
          <a:xfrm>
            <a:off x="614" y="1046"/>
            <a:ext cx="19" cy="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K</a:t>
            </a:r>
            <a:endParaRPr lang="fr-FR"/>
          </a:p>
        </xdr:txBody>
      </xdr:sp>
      <xdr:sp macro="" textlink="">
        <xdr:nvSpPr>
          <xdr:cNvPr id="10" name="Text Box 122"/>
          <xdr:cNvSpPr txBox="1">
            <a:spLocks noChangeAspect="1" noChangeArrowheads="1"/>
          </xdr:cNvSpPr>
        </xdr:nvSpPr>
        <xdr:spPr bwMode="auto">
          <a:xfrm>
            <a:off x="464" y="951"/>
            <a:ext cx="16" cy="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1" i="0" u="none" strike="noStrike" baseline="0">
                <a:solidFill>
                  <a:srgbClr val="000000"/>
                </a:solidFill>
                <a:latin typeface="Times New Roman" panose="02020603050405020304" pitchFamily="18" charset="0"/>
                <a:cs typeface="Times New Roman" panose="02020603050405020304" pitchFamily="18" charset="0"/>
              </a:rPr>
              <a:t>F</a:t>
            </a:r>
            <a:endParaRPr lang="fr-FR" b="1">
              <a:latin typeface="Times New Roman" panose="02020603050405020304" pitchFamily="18" charset="0"/>
              <a:cs typeface="Times New Roman" panose="02020603050405020304" pitchFamily="18" charset="0"/>
            </a:endParaRPr>
          </a:p>
        </xdr:txBody>
      </xdr:sp>
      <xdr:sp macro="" textlink="">
        <xdr:nvSpPr>
          <xdr:cNvPr id="11" name="Line 123"/>
          <xdr:cNvSpPr>
            <a:spLocks noChangeAspect="1" noChangeShapeType="1"/>
          </xdr:cNvSpPr>
        </xdr:nvSpPr>
        <xdr:spPr bwMode="auto">
          <a:xfrm rot="10800000" flipH="1" flipV="1">
            <a:off x="684" y="1079"/>
            <a:ext cx="39" cy="25"/>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12" name="Line 124"/>
          <xdr:cNvSpPr>
            <a:spLocks noChangeAspect="1" noChangeShapeType="1"/>
          </xdr:cNvSpPr>
        </xdr:nvSpPr>
        <xdr:spPr bwMode="auto">
          <a:xfrm rot="5400000" flipH="1" flipV="1">
            <a:off x="467" y="871"/>
            <a:ext cx="87" cy="58"/>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13" name="Line 125"/>
          <xdr:cNvSpPr>
            <a:spLocks noChangeAspect="1" noChangeShapeType="1"/>
          </xdr:cNvSpPr>
        </xdr:nvSpPr>
        <xdr:spPr bwMode="auto">
          <a:xfrm rot="5400000" flipH="1" flipV="1">
            <a:off x="535" y="963"/>
            <a:ext cx="33" cy="23"/>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sp macro="" textlink="">
        <xdr:nvSpPr>
          <xdr:cNvPr id="14" name="Line 126"/>
          <xdr:cNvSpPr>
            <a:spLocks noChangeAspect="1" noChangeShapeType="1"/>
          </xdr:cNvSpPr>
        </xdr:nvSpPr>
        <xdr:spPr bwMode="auto">
          <a:xfrm rot="10800000" flipH="1" flipV="1">
            <a:off x="492" y="926"/>
            <a:ext cx="86" cy="55"/>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sp macro="" textlink="">
        <xdr:nvSpPr>
          <xdr:cNvPr id="15" name="Text Box 127"/>
          <xdr:cNvSpPr txBox="1">
            <a:spLocks noChangeAspect="1" noChangeArrowheads="1"/>
          </xdr:cNvSpPr>
        </xdr:nvSpPr>
        <xdr:spPr bwMode="auto">
          <a:xfrm>
            <a:off x="524" y="987"/>
            <a:ext cx="20"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1" i="0" u="none" strike="noStrike" baseline="0">
                <a:solidFill>
                  <a:srgbClr val="000000"/>
                </a:solidFill>
                <a:latin typeface="Times New Roman" panose="02020603050405020304" pitchFamily="18" charset="0"/>
                <a:cs typeface="Times New Roman" panose="02020603050405020304" pitchFamily="18" charset="0"/>
              </a:rPr>
              <a:t>a</a:t>
            </a:r>
            <a:endParaRPr lang="fr-FR" b="1">
              <a:latin typeface="Times New Roman" panose="02020603050405020304" pitchFamily="18" charset="0"/>
              <a:cs typeface="Times New Roman" panose="02020603050405020304" pitchFamily="18" charset="0"/>
            </a:endParaRPr>
          </a:p>
        </xdr:txBody>
      </xdr:sp>
      <xdr:sp macro="" textlink="">
        <xdr:nvSpPr>
          <xdr:cNvPr id="16" name="Text Box 128"/>
          <xdr:cNvSpPr txBox="1">
            <a:spLocks noChangeAspect="1" noChangeArrowheads="1"/>
          </xdr:cNvSpPr>
        </xdr:nvSpPr>
        <xdr:spPr bwMode="auto">
          <a:xfrm>
            <a:off x="479" y="914"/>
            <a:ext cx="18" cy="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1" i="0" u="none" strike="noStrike" baseline="0">
                <a:solidFill>
                  <a:srgbClr val="000000"/>
                </a:solidFill>
                <a:latin typeface="Times New Roman" panose="02020603050405020304" pitchFamily="18" charset="0"/>
                <a:cs typeface="Times New Roman" panose="02020603050405020304" pitchFamily="18" charset="0"/>
              </a:rPr>
              <a:t>b</a:t>
            </a:r>
            <a:endParaRPr lang="fr-FR" b="1">
              <a:latin typeface="Times New Roman" panose="02020603050405020304" pitchFamily="18" charset="0"/>
              <a:cs typeface="Times New Roman" panose="02020603050405020304" pitchFamily="18" charset="0"/>
            </a:endParaRPr>
          </a:p>
        </xdr:txBody>
      </xdr:sp>
      <xdr:sp macro="" textlink="">
        <xdr:nvSpPr>
          <xdr:cNvPr id="17" name="Text Box 129"/>
          <xdr:cNvSpPr txBox="1">
            <a:spLocks noChangeAspect="1" noChangeArrowheads="1"/>
          </xdr:cNvSpPr>
        </xdr:nvSpPr>
        <xdr:spPr bwMode="auto">
          <a:xfrm>
            <a:off x="544" y="858"/>
            <a:ext cx="20" cy="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w</a:t>
            </a:r>
            <a:endParaRPr lang="fr-FR"/>
          </a:p>
        </xdr:txBody>
      </xdr:sp>
      <xdr:sp macro="" textlink="">
        <xdr:nvSpPr>
          <xdr:cNvPr id="18" name="Text Box 130"/>
          <xdr:cNvSpPr txBox="1">
            <a:spLocks noChangeAspect="1" noChangeArrowheads="1"/>
          </xdr:cNvSpPr>
        </xdr:nvSpPr>
        <xdr:spPr bwMode="auto">
          <a:xfrm>
            <a:off x="699" y="1064"/>
            <a:ext cx="18" cy="1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v</a:t>
            </a:r>
            <a:endParaRPr lang="fr-FR"/>
          </a:p>
        </xdr:txBody>
      </xdr:sp>
      <xdr:sp macro="" textlink="">
        <xdr:nvSpPr>
          <xdr:cNvPr id="19" name="Text Box 131"/>
          <xdr:cNvSpPr txBox="1">
            <a:spLocks noChangeAspect="1" noChangeArrowheads="1"/>
          </xdr:cNvSpPr>
        </xdr:nvSpPr>
        <xdr:spPr bwMode="auto">
          <a:xfrm>
            <a:off x="663" y="861"/>
            <a:ext cx="68" cy="1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0000"/>
                </a:solidFill>
                <a:latin typeface="Times New Roman" panose="02020603050405020304" pitchFamily="18" charset="0"/>
                <a:cs typeface="Times New Roman" panose="02020603050405020304" pitchFamily="18" charset="0"/>
              </a:rPr>
              <a:t> </a:t>
            </a:r>
            <a:r>
              <a:rPr lang="fr-FR" sz="1400" b="0" i="0" u="none" strike="noStrike" baseline="0">
                <a:solidFill>
                  <a:srgbClr val="FF0000"/>
                </a:solidFill>
                <a:latin typeface="Times New Roman" panose="02020603050405020304" pitchFamily="18" charset="0"/>
                <a:cs typeface="Times New Roman" panose="02020603050405020304" pitchFamily="18" charset="0"/>
              </a:rPr>
              <a:t>* </a:t>
            </a:r>
            <a:r>
              <a:rPr lang="fr-FR" sz="1000" b="0" i="0" u="none" strike="noStrike" baseline="0">
                <a:solidFill>
                  <a:srgbClr val="FF0000"/>
                </a:solidFill>
                <a:latin typeface="Times New Roman" panose="02020603050405020304" pitchFamily="18" charset="0"/>
                <a:cs typeface="Times New Roman" panose="02020603050405020304" pitchFamily="18" charset="0"/>
              </a:rPr>
              <a:t>Détail positions points vrh</a:t>
            </a:r>
          </a:p>
          <a:p>
            <a:pPr algn="ctr" rtl="0">
              <a:defRPr sz="1000"/>
            </a:pPr>
            <a:r>
              <a:rPr lang="fr-FR" sz="1000" b="0" i="0" u="none" strike="noStrike" baseline="0">
                <a:solidFill>
                  <a:srgbClr val="FF0000"/>
                </a:solidFill>
                <a:latin typeface="Times New Roman" panose="02020603050405020304" pitchFamily="18" charset="0"/>
                <a:cs typeface="Times New Roman" panose="02020603050405020304" pitchFamily="18" charset="0"/>
              </a:rPr>
              <a:t> et K dans repère vFw</a:t>
            </a:r>
            <a:endParaRPr lang="fr-FR">
              <a:latin typeface="Times New Roman" panose="02020603050405020304" pitchFamily="18" charset="0"/>
              <a:cs typeface="Times New Roman" panose="02020603050405020304" pitchFamily="18" charset="0"/>
            </a:endParaRPr>
          </a:p>
        </xdr:txBody>
      </xdr:sp>
      <xdr:sp macro="" textlink="">
        <xdr:nvSpPr>
          <xdr:cNvPr id="24" name="Text Box 287"/>
          <xdr:cNvSpPr txBox="1">
            <a:spLocks noChangeAspect="1" noChangeArrowheads="1"/>
          </xdr:cNvSpPr>
        </xdr:nvSpPr>
        <xdr:spPr bwMode="auto">
          <a:xfrm>
            <a:off x="587" y="1029"/>
            <a:ext cx="28" cy="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a:t>d</a:t>
            </a:r>
          </a:p>
        </xdr:txBody>
      </xdr:sp>
      <xdr:sp macro="" textlink="">
        <xdr:nvSpPr>
          <xdr:cNvPr id="26" name="Line 289"/>
          <xdr:cNvSpPr>
            <a:spLocks noChangeAspect="1" noChangeShapeType="1"/>
          </xdr:cNvSpPr>
        </xdr:nvSpPr>
        <xdr:spPr bwMode="auto">
          <a:xfrm>
            <a:off x="652" y="1057"/>
            <a:ext cx="34" cy="22"/>
          </a:xfrm>
          <a:prstGeom prst="line">
            <a:avLst/>
          </a:prstGeom>
          <a:noFill/>
          <a:ln w="190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sp macro="" textlink="">
        <xdr:nvSpPr>
          <xdr:cNvPr id="27" name="Oval 290"/>
          <xdr:cNvSpPr>
            <a:spLocks noChangeAspect="1" noChangeArrowheads="1"/>
          </xdr:cNvSpPr>
        </xdr:nvSpPr>
        <xdr:spPr bwMode="auto">
          <a:xfrm>
            <a:off x="680" y="1075"/>
            <a:ext cx="8" cy="7"/>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8" name="Text Box 291"/>
          <xdr:cNvSpPr txBox="1">
            <a:spLocks noChangeAspect="1" noChangeArrowheads="1"/>
          </xdr:cNvSpPr>
        </xdr:nvSpPr>
        <xdr:spPr bwMode="auto">
          <a:xfrm>
            <a:off x="663" y="1083"/>
            <a:ext cx="17" cy="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1" i="0" u="none" strike="noStrike" baseline="0">
                <a:solidFill>
                  <a:srgbClr val="000000"/>
                </a:solidFill>
                <a:latin typeface="Times New Roman" panose="02020603050405020304" pitchFamily="18" charset="0"/>
                <a:cs typeface="Times New Roman" panose="02020603050405020304" pitchFamily="18" charset="0"/>
              </a:rPr>
              <a:t>G</a:t>
            </a:r>
          </a:p>
          <a:p>
            <a:pPr algn="ctr" rtl="0">
              <a:defRPr sz="1000"/>
            </a:pPr>
            <a:endParaRPr lang="fr-FR"/>
          </a:p>
        </xdr:txBody>
      </xdr:sp>
    </xdr:grpSp>
    <xdr:clientData/>
  </xdr:oneCellAnchor>
  <xdr:twoCellAnchor editAs="oneCell">
    <xdr:from>
      <xdr:col>0</xdr:col>
      <xdr:colOff>0</xdr:colOff>
      <xdr:row>9</xdr:row>
      <xdr:rowOff>60960</xdr:rowOff>
    </xdr:from>
    <xdr:to>
      <xdr:col>4</xdr:col>
      <xdr:colOff>391285</xdr:colOff>
      <xdr:row>33</xdr:row>
      <xdr:rowOff>162842</xdr:rowOff>
    </xdr:to>
    <xdr:pic>
      <xdr:nvPicPr>
        <xdr:cNvPr id="29" name="Image 28"/>
        <xdr:cNvPicPr>
          <a:picLocks noChangeAspect="1"/>
        </xdr:cNvPicPr>
      </xdr:nvPicPr>
      <xdr:blipFill rotWithShape="1">
        <a:blip xmlns:r="http://schemas.openxmlformats.org/officeDocument/2006/relationships" r:embed="rId1"/>
        <a:srcRect t="1086"/>
        <a:stretch/>
      </xdr:blipFill>
      <xdr:spPr>
        <a:xfrm>
          <a:off x="0" y="1844040"/>
          <a:ext cx="3614545" cy="485676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545465</xdr:colOff>
      <xdr:row>2</xdr:row>
      <xdr:rowOff>30271</xdr:rowOff>
    </xdr:from>
    <xdr:to>
      <xdr:col>12</xdr:col>
      <xdr:colOff>563880</xdr:colOff>
      <xdr:row>30</xdr:row>
      <xdr:rowOff>190500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xdr:from>
          <xdr:col>5</xdr:col>
          <xdr:colOff>7620</xdr:colOff>
          <xdr:row>2</xdr:row>
          <xdr:rowOff>7620</xdr:rowOff>
        </xdr:from>
        <xdr:to>
          <xdr:col>6</xdr:col>
          <xdr:colOff>0</xdr:colOff>
          <xdr:row>4</xdr:row>
          <xdr:rowOff>0</xdr:rowOff>
        </xdr:to>
        <xdr:sp macro="" textlink="">
          <xdr:nvSpPr>
            <xdr:cNvPr id="18435" name="Spinner 3" hidden="1">
              <a:extLst>
                <a:ext uri="{63B3BB69-23CF-44E3-9099-C40C66FF867C}">
                  <a14:compatExt spid="_x0000_s18435"/>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97692</xdr:colOff>
      <xdr:row>53</xdr:row>
      <xdr:rowOff>150136</xdr:rowOff>
    </xdr:from>
    <xdr:to>
      <xdr:col>12</xdr:col>
      <xdr:colOff>337050</xdr:colOff>
      <xdr:row>80</xdr:row>
      <xdr:rowOff>156756</xdr:rowOff>
    </xdr:to>
    <xdr:graphicFrame macro="">
      <xdr:nvGraphicFramePr>
        <xdr:cNvPr id="2" name="Graphique 6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304800</xdr:colOff>
      <xdr:row>92</xdr:row>
      <xdr:rowOff>7620</xdr:rowOff>
    </xdr:from>
    <xdr:to>
      <xdr:col>11</xdr:col>
      <xdr:colOff>701040</xdr:colOff>
      <xdr:row>120</xdr:row>
      <xdr:rowOff>22860</xdr:rowOff>
    </xdr:to>
    <xdr:graphicFrame macro="">
      <xdr:nvGraphicFramePr>
        <xdr:cNvPr id="2" name="Graphique 6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6</xdr:col>
      <xdr:colOff>167640</xdr:colOff>
      <xdr:row>49</xdr:row>
      <xdr:rowOff>45720</xdr:rowOff>
    </xdr:from>
    <xdr:ext cx="3124200" cy="2362200"/>
    <xdr:grpSp>
      <xdr:nvGrpSpPr>
        <xdr:cNvPr id="3" name="Group 931"/>
        <xdr:cNvGrpSpPr>
          <a:grpSpLocks/>
        </xdr:cNvGrpSpPr>
      </xdr:nvGrpSpPr>
      <xdr:grpSpPr bwMode="auto">
        <a:xfrm>
          <a:off x="4536440" y="8288020"/>
          <a:ext cx="3124200" cy="2362200"/>
          <a:chOff x="462" y="858"/>
          <a:chExt cx="318" cy="246"/>
        </a:xfrm>
      </xdr:grpSpPr>
      <xdr:sp macro="" textlink="">
        <xdr:nvSpPr>
          <xdr:cNvPr id="4" name="AutoShape 132"/>
          <xdr:cNvSpPr>
            <a:spLocks noChangeAspect="1" noChangeArrowheads="1"/>
          </xdr:cNvSpPr>
        </xdr:nvSpPr>
        <xdr:spPr bwMode="auto">
          <a:xfrm rot="-8759377">
            <a:off x="519" y="967"/>
            <a:ext cx="108" cy="35"/>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600 w 21600"/>
              <a:gd name="T13" fmla="*/ 4320 h 21600"/>
              <a:gd name="T14" fmla="*/ 17200 w 21600"/>
              <a:gd name="T15" fmla="*/ 17280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5" name="Oval 116"/>
          <xdr:cNvSpPr>
            <a:spLocks noChangeAspect="1" noChangeArrowheads="1"/>
          </xdr:cNvSpPr>
        </xdr:nvSpPr>
        <xdr:spPr bwMode="auto">
          <a:xfrm>
            <a:off x="552" y="962"/>
            <a:ext cx="10" cy="10"/>
          </a:xfrm>
          <a:prstGeom prst="ellipse">
            <a:avLst/>
          </a:prstGeom>
          <a:solidFill>
            <a:srgbClr xmlns:mc="http://schemas.openxmlformats.org/markup-compatibility/2006" xmlns:a14="http://schemas.microsoft.com/office/drawing/2010/main" val="FF0000" mc:Ignorable="a14" a14:legacySpreadsheetColorIndex="10"/>
          </a:solidFill>
          <a:ln w="9525">
            <a:solidFill>
              <a:srgbClr xmlns:mc="http://schemas.openxmlformats.org/markup-compatibility/2006" xmlns:a14="http://schemas.microsoft.com/office/drawing/2010/main" val="FF0000" mc:Ignorable="a14" a14:legacySpreadsheetColorIndex="10"/>
            </a:solidFill>
            <a:round/>
            <a:headEnd/>
            <a:tailEnd/>
          </a:ln>
        </xdr:spPr>
      </xdr:sp>
      <xdr:sp macro="" textlink="">
        <xdr:nvSpPr>
          <xdr:cNvPr id="6" name="Line 117"/>
          <xdr:cNvSpPr>
            <a:spLocks noChangeAspect="1" noChangeShapeType="1"/>
          </xdr:cNvSpPr>
        </xdr:nvSpPr>
        <xdr:spPr bwMode="auto">
          <a:xfrm>
            <a:off x="482" y="947"/>
            <a:ext cx="167" cy="107"/>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 name="Text Box 118"/>
          <xdr:cNvSpPr txBox="1">
            <a:spLocks noChangeAspect="1" noChangeArrowheads="1"/>
          </xdr:cNvSpPr>
        </xdr:nvSpPr>
        <xdr:spPr bwMode="auto">
          <a:xfrm>
            <a:off x="565" y="946"/>
            <a:ext cx="17" cy="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0000"/>
                </a:solidFill>
                <a:latin typeface="Arial"/>
                <a:cs typeface="Arial"/>
              </a:rPr>
              <a:t>H</a:t>
            </a:r>
            <a:endParaRPr lang="fr-FR"/>
          </a:p>
        </xdr:txBody>
      </xdr:sp>
      <xdr:sp macro="" textlink="">
        <xdr:nvSpPr>
          <xdr:cNvPr id="8" name="Oval 119"/>
          <xdr:cNvSpPr>
            <a:spLocks noChangeAspect="1" noChangeArrowheads="1"/>
          </xdr:cNvSpPr>
        </xdr:nvSpPr>
        <xdr:spPr bwMode="auto">
          <a:xfrm>
            <a:off x="618" y="1034"/>
            <a:ext cx="9" cy="7"/>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9" name="Oval 120"/>
          <xdr:cNvSpPr>
            <a:spLocks noChangeAspect="1" noChangeArrowheads="1"/>
          </xdr:cNvSpPr>
        </xdr:nvSpPr>
        <xdr:spPr bwMode="auto">
          <a:xfrm>
            <a:off x="478" y="944"/>
            <a:ext cx="8" cy="7"/>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0" name="Text Box 121"/>
          <xdr:cNvSpPr txBox="1">
            <a:spLocks noChangeAspect="1" noChangeArrowheads="1"/>
          </xdr:cNvSpPr>
        </xdr:nvSpPr>
        <xdr:spPr bwMode="auto">
          <a:xfrm>
            <a:off x="614" y="1046"/>
            <a:ext cx="19" cy="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D</a:t>
            </a:r>
            <a:endParaRPr lang="fr-FR"/>
          </a:p>
        </xdr:txBody>
      </xdr:sp>
      <xdr:sp macro="" textlink="">
        <xdr:nvSpPr>
          <xdr:cNvPr id="11" name="Text Box 122"/>
          <xdr:cNvSpPr txBox="1">
            <a:spLocks noChangeAspect="1" noChangeArrowheads="1"/>
          </xdr:cNvSpPr>
        </xdr:nvSpPr>
        <xdr:spPr bwMode="auto">
          <a:xfrm>
            <a:off x="464" y="951"/>
            <a:ext cx="16" cy="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S</a:t>
            </a:r>
            <a:endParaRPr lang="fr-FR"/>
          </a:p>
        </xdr:txBody>
      </xdr:sp>
      <xdr:sp macro="" textlink="">
        <xdr:nvSpPr>
          <xdr:cNvPr id="12" name="Line 123"/>
          <xdr:cNvSpPr>
            <a:spLocks noChangeAspect="1" noChangeShapeType="1"/>
          </xdr:cNvSpPr>
        </xdr:nvSpPr>
        <xdr:spPr bwMode="auto">
          <a:xfrm rot="10800000" flipH="1" flipV="1">
            <a:off x="684" y="1079"/>
            <a:ext cx="39" cy="25"/>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13" name="Line 124"/>
          <xdr:cNvSpPr>
            <a:spLocks noChangeAspect="1" noChangeShapeType="1"/>
          </xdr:cNvSpPr>
        </xdr:nvSpPr>
        <xdr:spPr bwMode="auto">
          <a:xfrm rot="5400000" flipH="1" flipV="1">
            <a:off x="463" y="881"/>
            <a:ext cx="87" cy="58"/>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14" name="Line 125"/>
          <xdr:cNvSpPr>
            <a:spLocks noChangeAspect="1" noChangeShapeType="1"/>
          </xdr:cNvSpPr>
        </xdr:nvSpPr>
        <xdr:spPr bwMode="auto">
          <a:xfrm rot="5400000" flipH="1" flipV="1">
            <a:off x="535" y="963"/>
            <a:ext cx="33" cy="23"/>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sp macro="" textlink="">
        <xdr:nvSpPr>
          <xdr:cNvPr id="15" name="Line 126"/>
          <xdr:cNvSpPr>
            <a:spLocks noChangeAspect="1" noChangeShapeType="1"/>
          </xdr:cNvSpPr>
        </xdr:nvSpPr>
        <xdr:spPr bwMode="auto">
          <a:xfrm rot="10800000" flipH="1" flipV="1">
            <a:off x="492" y="926"/>
            <a:ext cx="86" cy="55"/>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sp macro="" textlink="">
        <xdr:nvSpPr>
          <xdr:cNvPr id="16" name="Text Box 127"/>
          <xdr:cNvSpPr txBox="1">
            <a:spLocks noChangeAspect="1" noChangeArrowheads="1"/>
          </xdr:cNvSpPr>
        </xdr:nvSpPr>
        <xdr:spPr bwMode="auto">
          <a:xfrm>
            <a:off x="528" y="987"/>
            <a:ext cx="16" cy="1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a</a:t>
            </a:r>
            <a:endParaRPr lang="fr-FR"/>
          </a:p>
        </xdr:txBody>
      </xdr:sp>
      <xdr:sp macro="" textlink="">
        <xdr:nvSpPr>
          <xdr:cNvPr id="17" name="Text Box 128"/>
          <xdr:cNvSpPr txBox="1">
            <a:spLocks noChangeAspect="1" noChangeArrowheads="1"/>
          </xdr:cNvSpPr>
        </xdr:nvSpPr>
        <xdr:spPr bwMode="auto">
          <a:xfrm>
            <a:off x="479" y="914"/>
            <a:ext cx="18" cy="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b</a:t>
            </a:r>
            <a:endParaRPr lang="fr-FR"/>
          </a:p>
        </xdr:txBody>
      </xdr:sp>
      <xdr:sp macro="" textlink="">
        <xdr:nvSpPr>
          <xdr:cNvPr id="18" name="Text Box 129"/>
          <xdr:cNvSpPr txBox="1">
            <a:spLocks noChangeAspect="1" noChangeArrowheads="1"/>
          </xdr:cNvSpPr>
        </xdr:nvSpPr>
        <xdr:spPr bwMode="auto">
          <a:xfrm>
            <a:off x="544" y="858"/>
            <a:ext cx="20" cy="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w</a:t>
            </a:r>
            <a:endParaRPr lang="fr-FR"/>
          </a:p>
        </xdr:txBody>
      </xdr:sp>
      <xdr:sp macro="" textlink="">
        <xdr:nvSpPr>
          <xdr:cNvPr id="19" name="Text Box 130"/>
          <xdr:cNvSpPr txBox="1">
            <a:spLocks noChangeAspect="1" noChangeArrowheads="1"/>
          </xdr:cNvSpPr>
        </xdr:nvSpPr>
        <xdr:spPr bwMode="auto">
          <a:xfrm>
            <a:off x="699" y="1064"/>
            <a:ext cx="18" cy="1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v</a:t>
            </a:r>
            <a:endParaRPr lang="fr-FR"/>
          </a:p>
        </xdr:txBody>
      </xdr:sp>
      <xdr:sp macro="" textlink="">
        <xdr:nvSpPr>
          <xdr:cNvPr id="20" name="Text Box 131"/>
          <xdr:cNvSpPr txBox="1">
            <a:spLocks noChangeAspect="1" noChangeArrowheads="1"/>
          </xdr:cNvSpPr>
        </xdr:nvSpPr>
        <xdr:spPr bwMode="auto">
          <a:xfrm>
            <a:off x="569" y="882"/>
            <a:ext cx="211" cy="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0000"/>
                </a:solidFill>
                <a:latin typeface="Arial"/>
                <a:cs typeface="Arial"/>
              </a:rPr>
              <a:t> </a:t>
            </a:r>
            <a:r>
              <a:rPr lang="fr-FR" sz="1400" b="0" i="0" u="none" strike="noStrike" baseline="0">
                <a:solidFill>
                  <a:srgbClr val="FF0000"/>
                </a:solidFill>
                <a:latin typeface="Arial"/>
                <a:cs typeface="Arial"/>
              </a:rPr>
              <a:t>* </a:t>
            </a:r>
            <a:r>
              <a:rPr lang="fr-FR" sz="1000" b="0" i="0" u="none" strike="noStrike" baseline="0">
                <a:solidFill>
                  <a:srgbClr val="FF0000"/>
                </a:solidFill>
                <a:latin typeface="Arial"/>
                <a:cs typeface="Arial"/>
              </a:rPr>
              <a:t>Détail positions points H</a:t>
            </a:r>
          </a:p>
          <a:p>
            <a:pPr algn="ctr" rtl="0">
              <a:defRPr sz="1000"/>
            </a:pPr>
            <a:r>
              <a:rPr lang="fr-FR" sz="1000" b="0" i="0" u="none" strike="noStrike" baseline="0">
                <a:solidFill>
                  <a:srgbClr val="FF0000"/>
                </a:solidFill>
                <a:latin typeface="Arial"/>
                <a:cs typeface="Arial"/>
              </a:rPr>
              <a:t> et G4 dans repère vSw</a:t>
            </a:r>
            <a:endParaRPr lang="fr-FR"/>
          </a:p>
        </xdr:txBody>
      </xdr:sp>
      <xdr:sp macro="" textlink="">
        <xdr:nvSpPr>
          <xdr:cNvPr id="21" name="Oval 277"/>
          <xdr:cNvSpPr>
            <a:spLocks noChangeAspect="1" noChangeArrowheads="1"/>
          </xdr:cNvSpPr>
        </xdr:nvSpPr>
        <xdr:spPr bwMode="auto">
          <a:xfrm rot="-3939534">
            <a:off x="591" y="1005"/>
            <a:ext cx="7" cy="7"/>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8"/>
                </a:solidFill>
              </a14:hiddenFill>
            </a:ext>
          </a:extLst>
        </xdr:spPr>
      </xdr:sp>
      <xdr:sp macro="" textlink="">
        <xdr:nvSpPr>
          <xdr:cNvPr id="22" name="Text Box 280"/>
          <xdr:cNvSpPr txBox="1">
            <a:spLocks noChangeAspect="1" noChangeArrowheads="1"/>
          </xdr:cNvSpPr>
        </xdr:nvSpPr>
        <xdr:spPr bwMode="auto">
          <a:xfrm>
            <a:off x="581" y="985"/>
            <a:ext cx="29"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G4</a:t>
            </a:r>
            <a:endParaRPr lang="fr-FR"/>
          </a:p>
        </xdr:txBody>
      </xdr:sp>
      <xdr:sp macro="" textlink="">
        <xdr:nvSpPr>
          <xdr:cNvPr id="23" name="Line 285"/>
          <xdr:cNvSpPr>
            <a:spLocks noChangeAspect="1" noChangeShapeType="1"/>
          </xdr:cNvSpPr>
        </xdr:nvSpPr>
        <xdr:spPr bwMode="auto">
          <a:xfrm rot="10800000" flipH="1" flipV="1">
            <a:off x="485" y="938"/>
            <a:ext cx="114" cy="73"/>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sp macro="" textlink="">
        <xdr:nvSpPr>
          <xdr:cNvPr id="24" name="Line 286"/>
          <xdr:cNvSpPr>
            <a:spLocks noChangeAspect="1" noChangeShapeType="1"/>
          </xdr:cNvSpPr>
        </xdr:nvSpPr>
        <xdr:spPr bwMode="auto">
          <a:xfrm rot="5400000" flipH="1" flipV="1">
            <a:off x="583" y="1003"/>
            <a:ext cx="22" cy="14"/>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sp macro="" textlink="">
        <xdr:nvSpPr>
          <xdr:cNvPr id="25" name="Text Box 287"/>
          <xdr:cNvSpPr txBox="1">
            <a:spLocks noChangeAspect="1" noChangeArrowheads="1"/>
          </xdr:cNvSpPr>
        </xdr:nvSpPr>
        <xdr:spPr bwMode="auto">
          <a:xfrm>
            <a:off x="577" y="1023"/>
            <a:ext cx="28" cy="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d</a:t>
            </a:r>
            <a:endParaRPr lang="fr-FR"/>
          </a:p>
        </xdr:txBody>
      </xdr:sp>
      <xdr:sp macro="" textlink="">
        <xdr:nvSpPr>
          <xdr:cNvPr id="26" name="Text Box 288"/>
          <xdr:cNvSpPr txBox="1">
            <a:spLocks noChangeAspect="1" noChangeArrowheads="1"/>
          </xdr:cNvSpPr>
        </xdr:nvSpPr>
        <xdr:spPr bwMode="auto">
          <a:xfrm>
            <a:off x="462" y="920"/>
            <a:ext cx="26"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e</a:t>
            </a:r>
            <a:endParaRPr lang="fr-FR"/>
          </a:p>
        </xdr:txBody>
      </xdr:sp>
      <xdr:sp macro="" textlink="">
        <xdr:nvSpPr>
          <xdr:cNvPr id="27" name="Line 289"/>
          <xdr:cNvSpPr>
            <a:spLocks noChangeAspect="1" noChangeShapeType="1"/>
          </xdr:cNvSpPr>
        </xdr:nvSpPr>
        <xdr:spPr bwMode="auto">
          <a:xfrm>
            <a:off x="652" y="1057"/>
            <a:ext cx="34" cy="22"/>
          </a:xfrm>
          <a:prstGeom prst="line">
            <a:avLst/>
          </a:prstGeom>
          <a:noFill/>
          <a:ln w="190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sp macro="" textlink="">
        <xdr:nvSpPr>
          <xdr:cNvPr id="28" name="Oval 290"/>
          <xdr:cNvSpPr>
            <a:spLocks noChangeAspect="1" noChangeArrowheads="1"/>
          </xdr:cNvSpPr>
        </xdr:nvSpPr>
        <xdr:spPr bwMode="auto">
          <a:xfrm>
            <a:off x="680" y="1075"/>
            <a:ext cx="8" cy="7"/>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9" name="Text Box 291"/>
          <xdr:cNvSpPr txBox="1">
            <a:spLocks noChangeAspect="1" noChangeArrowheads="1"/>
          </xdr:cNvSpPr>
        </xdr:nvSpPr>
        <xdr:spPr bwMode="auto">
          <a:xfrm>
            <a:off x="663" y="1083"/>
            <a:ext cx="17" cy="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C</a:t>
            </a:r>
            <a:endParaRPr lang="fr-FR"/>
          </a:p>
        </xdr:txBody>
      </xdr:sp>
    </xdr:grpSp>
    <xdr:clientData/>
  </xdr:oneCellAnchor>
  <xdr:twoCellAnchor>
    <xdr:from>
      <xdr:col>9</xdr:col>
      <xdr:colOff>746760</xdr:colOff>
      <xdr:row>39</xdr:row>
      <xdr:rowOff>45720</xdr:rowOff>
    </xdr:from>
    <xdr:to>
      <xdr:col>14</xdr:col>
      <xdr:colOff>38100</xdr:colOff>
      <xdr:row>53</xdr:row>
      <xdr:rowOff>106680</xdr:rowOff>
    </xdr:to>
    <xdr:grpSp>
      <xdr:nvGrpSpPr>
        <xdr:cNvPr id="30" name="Group 908"/>
        <xdr:cNvGrpSpPr>
          <a:grpSpLocks/>
        </xdr:cNvGrpSpPr>
      </xdr:nvGrpSpPr>
      <xdr:grpSpPr bwMode="auto">
        <a:xfrm>
          <a:off x="7604760" y="6637020"/>
          <a:ext cx="3482340" cy="2372360"/>
          <a:chOff x="687" y="615"/>
          <a:chExt cx="346" cy="244"/>
        </a:xfrm>
      </xdr:grpSpPr>
      <xdr:sp macro="" textlink="">
        <xdr:nvSpPr>
          <xdr:cNvPr id="31" name="Line 93"/>
          <xdr:cNvSpPr>
            <a:spLocks noChangeShapeType="1"/>
          </xdr:cNvSpPr>
        </xdr:nvSpPr>
        <xdr:spPr bwMode="auto">
          <a:xfrm flipV="1">
            <a:off x="965" y="779"/>
            <a:ext cx="0" cy="21"/>
          </a:xfrm>
          <a:prstGeom prst="line">
            <a:avLst/>
          </a:prstGeom>
          <a:noFill/>
          <a:ln w="9525">
            <a:solidFill>
              <a:srgbClr xmlns:mc="http://schemas.openxmlformats.org/markup-compatibility/2006" xmlns:a14="http://schemas.microsoft.com/office/drawing/2010/main" val="3366FF" mc:Ignorable="a14" a14:legacySpreadsheetColorIndex="48"/>
            </a:solidFill>
            <a:round/>
            <a:headEnd/>
            <a:tailEnd type="triangle" w="sm" len="sm"/>
          </a:ln>
          <a:extLst>
            <a:ext uri="{909E8E84-426E-40DD-AFC4-6F175D3DCCD1}">
              <a14:hiddenFill xmlns:a14="http://schemas.microsoft.com/office/drawing/2010/main">
                <a:noFill/>
              </a14:hiddenFill>
            </a:ext>
          </a:extLst>
        </xdr:spPr>
      </xdr:sp>
      <xdr:sp macro="" textlink="">
        <xdr:nvSpPr>
          <xdr:cNvPr id="32" name="Line 97"/>
          <xdr:cNvSpPr>
            <a:spLocks noChangeShapeType="1"/>
          </xdr:cNvSpPr>
        </xdr:nvSpPr>
        <xdr:spPr bwMode="auto">
          <a:xfrm flipH="1">
            <a:off x="762" y="688"/>
            <a:ext cx="25" cy="5"/>
          </a:xfrm>
          <a:prstGeom prst="line">
            <a:avLst/>
          </a:prstGeom>
          <a:noFill/>
          <a:ln w="9525">
            <a:solidFill>
              <a:srgbClr xmlns:mc="http://schemas.openxmlformats.org/markup-compatibility/2006" xmlns:a14="http://schemas.microsoft.com/office/drawing/2010/main" val="CC99FF" mc:Ignorable="a14" a14:legacySpreadsheetColorIndex="46"/>
            </a:solidFill>
            <a:round/>
            <a:headEnd/>
            <a:tailEnd type="triangle" w="sm" len="sm"/>
          </a:ln>
          <a:extLst>
            <a:ext uri="{909E8E84-426E-40DD-AFC4-6F175D3DCCD1}">
              <a14:hiddenFill xmlns:a14="http://schemas.microsoft.com/office/drawing/2010/main">
                <a:noFill/>
              </a14:hiddenFill>
            </a:ext>
          </a:extLst>
        </xdr:spPr>
      </xdr:sp>
      <xdr:sp macro="" textlink="">
        <xdr:nvSpPr>
          <xdr:cNvPr id="33" name="Text Box 100"/>
          <xdr:cNvSpPr txBox="1">
            <a:spLocks noChangeArrowheads="1"/>
          </xdr:cNvSpPr>
        </xdr:nvSpPr>
        <xdr:spPr bwMode="auto">
          <a:xfrm>
            <a:off x="750" y="697"/>
            <a:ext cx="38" cy="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 Rs</a:t>
            </a:r>
          </a:p>
          <a:p>
            <a:pPr algn="ctr" rtl="0">
              <a:defRPr sz="1000"/>
            </a:pPr>
            <a:endParaRPr lang="fr-FR"/>
          </a:p>
        </xdr:txBody>
      </xdr:sp>
      <xdr:sp macro="" textlink="">
        <xdr:nvSpPr>
          <xdr:cNvPr id="34" name="Text Box 105"/>
          <xdr:cNvSpPr txBox="1">
            <a:spLocks noChangeArrowheads="1"/>
          </xdr:cNvSpPr>
        </xdr:nvSpPr>
        <xdr:spPr bwMode="auto">
          <a:xfrm>
            <a:off x="687" y="837"/>
            <a:ext cx="44"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99CC"/>
                </a:solidFill>
                <a:latin typeface="Arial"/>
                <a:cs typeface="Arial"/>
              </a:rPr>
              <a:t>Ra</a:t>
            </a:r>
            <a:endParaRPr lang="fr-FR"/>
          </a:p>
        </xdr:txBody>
      </xdr:sp>
      <xdr:sp macro="" textlink="">
        <xdr:nvSpPr>
          <xdr:cNvPr id="35" name="Text Box 107"/>
          <xdr:cNvSpPr txBox="1">
            <a:spLocks noChangeArrowheads="1"/>
          </xdr:cNvSpPr>
        </xdr:nvSpPr>
        <xdr:spPr bwMode="auto">
          <a:xfrm>
            <a:off x="851" y="690"/>
            <a:ext cx="29"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Fd</a:t>
            </a:r>
            <a:endParaRPr lang="fr-FR"/>
          </a:p>
        </xdr:txBody>
      </xdr:sp>
      <xdr:sp macro="" textlink="">
        <xdr:nvSpPr>
          <xdr:cNvPr id="36" name="Text Box 110"/>
          <xdr:cNvSpPr txBox="1">
            <a:spLocks noChangeArrowheads="1"/>
          </xdr:cNvSpPr>
        </xdr:nvSpPr>
        <xdr:spPr bwMode="auto">
          <a:xfrm>
            <a:off x="945" y="761"/>
            <a:ext cx="39" cy="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Ryc</a:t>
            </a:r>
            <a:endParaRPr lang="fr-FR"/>
          </a:p>
        </xdr:txBody>
      </xdr:sp>
      <xdr:sp macro="" textlink="">
        <xdr:nvSpPr>
          <xdr:cNvPr id="37" name="Text Box 112"/>
          <xdr:cNvSpPr txBox="1">
            <a:spLocks noChangeArrowheads="1"/>
          </xdr:cNvSpPr>
        </xdr:nvSpPr>
        <xdr:spPr bwMode="auto">
          <a:xfrm>
            <a:off x="847" y="659"/>
            <a:ext cx="29"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Fv</a:t>
            </a:r>
          </a:p>
          <a:p>
            <a:pPr algn="ctr" rtl="0">
              <a:defRPr sz="1000"/>
            </a:pPr>
            <a:endParaRPr lang="fr-FR"/>
          </a:p>
        </xdr:txBody>
      </xdr:sp>
      <xdr:sp macro="" textlink="">
        <xdr:nvSpPr>
          <xdr:cNvPr id="38" name="Line 135"/>
          <xdr:cNvSpPr>
            <a:spLocks noChangeShapeType="1"/>
          </xdr:cNvSpPr>
        </xdr:nvSpPr>
        <xdr:spPr bwMode="auto">
          <a:xfrm flipV="1">
            <a:off x="832" y="664"/>
            <a:ext cx="17" cy="36"/>
          </a:xfrm>
          <a:prstGeom prst="line">
            <a:avLst/>
          </a:prstGeom>
          <a:noFill/>
          <a:ln w="9525">
            <a:solidFill>
              <a:srgbClr xmlns:mc="http://schemas.openxmlformats.org/markup-compatibility/2006" xmlns:a14="http://schemas.microsoft.com/office/drawing/2010/main" val="FF6600" mc:Ignorable="a14" a14:legacySpreadsheetColorIndex="53"/>
            </a:solidFill>
            <a:round/>
            <a:headEnd/>
            <a:tailEnd type="triangle" w="sm" len="sm"/>
          </a:ln>
          <a:extLst>
            <a:ext uri="{909E8E84-426E-40DD-AFC4-6F175D3DCCD1}">
              <a14:hiddenFill xmlns:a14="http://schemas.microsoft.com/office/drawing/2010/main">
                <a:noFill/>
              </a14:hiddenFill>
            </a:ext>
          </a:extLst>
        </xdr:spPr>
      </xdr:sp>
      <xdr:sp macro="" textlink="">
        <xdr:nvSpPr>
          <xdr:cNvPr id="39" name="Line 144"/>
          <xdr:cNvSpPr>
            <a:spLocks noChangeShapeType="1"/>
          </xdr:cNvSpPr>
        </xdr:nvSpPr>
        <xdr:spPr bwMode="auto">
          <a:xfrm flipV="1">
            <a:off x="857" y="696"/>
            <a:ext cx="29" cy="34"/>
          </a:xfrm>
          <a:prstGeom prst="line">
            <a:avLst/>
          </a:prstGeom>
          <a:noFill/>
          <a:ln w="9525">
            <a:solidFill>
              <a:srgbClr xmlns:mc="http://schemas.openxmlformats.org/markup-compatibility/2006" xmlns:a14="http://schemas.microsoft.com/office/drawing/2010/main" val="99CC00" mc:Ignorable="a14" a14:legacySpreadsheetColorIndex="50"/>
            </a:solidFill>
            <a:round/>
            <a:headEnd/>
            <a:tailEnd type="triangle" w="sm" len="sm"/>
          </a:ln>
          <a:extLst>
            <a:ext uri="{909E8E84-426E-40DD-AFC4-6F175D3DCCD1}">
              <a14:hiddenFill xmlns:a14="http://schemas.microsoft.com/office/drawing/2010/main">
                <a:noFill/>
              </a14:hiddenFill>
            </a:ext>
          </a:extLst>
        </xdr:spPr>
      </xdr:sp>
      <xdr:sp macro="" textlink="">
        <xdr:nvSpPr>
          <xdr:cNvPr id="40" name="Line 145"/>
          <xdr:cNvSpPr>
            <a:spLocks noChangeShapeType="1"/>
          </xdr:cNvSpPr>
        </xdr:nvSpPr>
        <xdr:spPr bwMode="auto">
          <a:xfrm>
            <a:off x="925" y="688"/>
            <a:ext cx="29" cy="6"/>
          </a:xfrm>
          <a:prstGeom prst="line">
            <a:avLst/>
          </a:prstGeom>
          <a:noFill/>
          <a:ln w="9525">
            <a:solidFill>
              <a:srgbClr xmlns:mc="http://schemas.openxmlformats.org/markup-compatibility/2006" xmlns:a14="http://schemas.microsoft.com/office/drawing/2010/main" val="3366FF" mc:Ignorable="a14" a14:legacySpreadsheetColorIndex="48"/>
            </a:solidFill>
            <a:round/>
            <a:headEnd/>
            <a:tailEnd type="triangle" w="sm" len="sm"/>
          </a:ln>
          <a:extLst>
            <a:ext uri="{909E8E84-426E-40DD-AFC4-6F175D3DCCD1}">
              <a14:hiddenFill xmlns:a14="http://schemas.microsoft.com/office/drawing/2010/main">
                <a:noFill/>
              </a14:hiddenFill>
            </a:ext>
          </a:extLst>
        </xdr:spPr>
      </xdr:sp>
      <xdr:sp macro="" textlink="">
        <xdr:nvSpPr>
          <xdr:cNvPr id="41" name="Line 154"/>
          <xdr:cNvSpPr>
            <a:spLocks noChangeShapeType="1"/>
          </xdr:cNvSpPr>
        </xdr:nvSpPr>
        <xdr:spPr bwMode="auto">
          <a:xfrm rot="-5400000" flipH="1" flipV="1">
            <a:off x="720" y="802"/>
            <a:ext cx="27" cy="30"/>
          </a:xfrm>
          <a:prstGeom prst="line">
            <a:avLst/>
          </a:prstGeom>
          <a:noFill/>
          <a:ln w="9525">
            <a:solidFill>
              <a:srgbClr xmlns:mc="http://schemas.openxmlformats.org/markup-compatibility/2006" xmlns:a14="http://schemas.microsoft.com/office/drawing/2010/main" val="FF99CC" mc:Ignorable="a14" a14:legacySpreadsheetColorIndex="45"/>
            </a:solidFill>
            <a:round/>
            <a:headEnd/>
            <a:tailEnd type="triangle" w="sm" len="sm"/>
          </a:ln>
          <a:extLst>
            <a:ext uri="{909E8E84-426E-40DD-AFC4-6F175D3DCCD1}">
              <a14:hiddenFill xmlns:a14="http://schemas.microsoft.com/office/drawing/2010/main">
                <a:noFill/>
              </a14:hiddenFill>
            </a:ext>
          </a:extLst>
        </xdr:spPr>
      </xdr:sp>
      <xdr:sp macro="" textlink="">
        <xdr:nvSpPr>
          <xdr:cNvPr id="42" name="Line 157"/>
          <xdr:cNvSpPr>
            <a:spLocks noChangeShapeType="1"/>
          </xdr:cNvSpPr>
        </xdr:nvSpPr>
        <xdr:spPr bwMode="auto">
          <a:xfrm flipV="1">
            <a:off x="748" y="686"/>
            <a:ext cx="180" cy="117"/>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3" name="Line 158"/>
          <xdr:cNvSpPr>
            <a:spLocks noChangeShapeType="1"/>
          </xdr:cNvSpPr>
        </xdr:nvSpPr>
        <xdr:spPr bwMode="auto">
          <a:xfrm>
            <a:off x="787" y="687"/>
            <a:ext cx="181" cy="117"/>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4" name="Oval 159"/>
          <xdr:cNvSpPr>
            <a:spLocks noChangeArrowheads="1"/>
          </xdr:cNvSpPr>
        </xdr:nvSpPr>
        <xdr:spPr bwMode="auto">
          <a:xfrm>
            <a:off x="765" y="829"/>
            <a:ext cx="7" cy="6"/>
          </a:xfrm>
          <a:prstGeom prst="ellipse">
            <a:avLst/>
          </a:prstGeom>
          <a:solidFill>
            <a:srgbClr xmlns:mc="http://schemas.openxmlformats.org/markup-compatibility/2006" xmlns:a14="http://schemas.microsoft.com/office/drawing/2010/main" val="FF0000" mc:Ignorable="a14" a14:legacySpreadsheetColorIndex="10"/>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45" name="Line 160"/>
          <xdr:cNvSpPr>
            <a:spLocks noChangeShapeType="1"/>
          </xdr:cNvSpPr>
        </xdr:nvSpPr>
        <xdr:spPr bwMode="auto">
          <a:xfrm flipV="1">
            <a:off x="750" y="667"/>
            <a:ext cx="0" cy="175"/>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46" name="Line 161"/>
          <xdr:cNvSpPr>
            <a:spLocks noChangeShapeType="1"/>
          </xdr:cNvSpPr>
        </xdr:nvSpPr>
        <xdr:spPr bwMode="auto">
          <a:xfrm rot="5400000" flipV="1">
            <a:off x="866" y="657"/>
            <a:ext cx="0" cy="291"/>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47" name="Line 162"/>
          <xdr:cNvSpPr>
            <a:spLocks noChangeShapeType="1"/>
          </xdr:cNvSpPr>
        </xdr:nvSpPr>
        <xdr:spPr bwMode="auto">
          <a:xfrm flipV="1">
            <a:off x="770" y="703"/>
            <a:ext cx="61" cy="12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8" name="Text Box 163"/>
          <xdr:cNvSpPr txBox="1">
            <a:spLocks noChangeArrowheads="1"/>
          </xdr:cNvSpPr>
        </xdr:nvSpPr>
        <xdr:spPr bwMode="auto">
          <a:xfrm>
            <a:off x="725" y="785"/>
            <a:ext cx="21"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A</a:t>
            </a:r>
            <a:endParaRPr lang="fr-FR"/>
          </a:p>
        </xdr:txBody>
      </xdr:sp>
      <xdr:sp macro="" textlink="">
        <xdr:nvSpPr>
          <xdr:cNvPr id="49" name="Text Box 164"/>
          <xdr:cNvSpPr txBox="1">
            <a:spLocks noChangeArrowheads="1"/>
          </xdr:cNvSpPr>
        </xdr:nvSpPr>
        <xdr:spPr bwMode="auto">
          <a:xfrm>
            <a:off x="930" y="669"/>
            <a:ext cx="27"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R</a:t>
            </a:r>
            <a:endParaRPr lang="fr-FR"/>
          </a:p>
        </xdr:txBody>
      </xdr:sp>
      <xdr:sp macro="" textlink="">
        <xdr:nvSpPr>
          <xdr:cNvPr id="50" name="Text Box 165"/>
          <xdr:cNvSpPr txBox="1">
            <a:spLocks noChangeArrowheads="1"/>
          </xdr:cNvSpPr>
        </xdr:nvSpPr>
        <xdr:spPr bwMode="auto">
          <a:xfrm>
            <a:off x="774" y="667"/>
            <a:ext cx="20"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S</a:t>
            </a:r>
            <a:endParaRPr lang="fr-FR"/>
          </a:p>
        </xdr:txBody>
      </xdr:sp>
      <xdr:sp macro="" textlink="">
        <xdr:nvSpPr>
          <xdr:cNvPr id="51" name="Text Box 166"/>
          <xdr:cNvSpPr txBox="1">
            <a:spLocks noChangeArrowheads="1"/>
          </xdr:cNvSpPr>
        </xdr:nvSpPr>
        <xdr:spPr bwMode="auto">
          <a:xfrm>
            <a:off x="957" y="808"/>
            <a:ext cx="21"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C</a:t>
            </a:r>
            <a:endParaRPr lang="fr-FR"/>
          </a:p>
        </xdr:txBody>
      </xdr:sp>
      <xdr:sp macro="" textlink="">
        <xdr:nvSpPr>
          <xdr:cNvPr id="52" name="Text Box 167"/>
          <xdr:cNvSpPr txBox="1">
            <a:spLocks noChangeArrowheads="1"/>
          </xdr:cNvSpPr>
        </xdr:nvSpPr>
        <xdr:spPr bwMode="auto">
          <a:xfrm>
            <a:off x="827" y="695"/>
            <a:ext cx="30"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0000"/>
                </a:solidFill>
                <a:latin typeface="Arial"/>
                <a:cs typeface="Arial"/>
              </a:rPr>
              <a:t>H</a:t>
            </a:r>
            <a:endParaRPr lang="fr-FR"/>
          </a:p>
        </xdr:txBody>
      </xdr:sp>
      <xdr:sp macro="" textlink="">
        <xdr:nvSpPr>
          <xdr:cNvPr id="53" name="Text Box 168"/>
          <xdr:cNvSpPr txBox="1">
            <a:spLocks noChangeArrowheads="1"/>
          </xdr:cNvSpPr>
        </xdr:nvSpPr>
        <xdr:spPr bwMode="auto">
          <a:xfrm>
            <a:off x="846" y="733"/>
            <a:ext cx="23"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D</a:t>
            </a:r>
            <a:endParaRPr lang="fr-FR"/>
          </a:p>
        </xdr:txBody>
      </xdr:sp>
      <xdr:sp macro="" textlink="">
        <xdr:nvSpPr>
          <xdr:cNvPr id="54" name="Text Box 169"/>
          <xdr:cNvSpPr txBox="1">
            <a:spLocks noChangeArrowheads="1"/>
          </xdr:cNvSpPr>
        </xdr:nvSpPr>
        <xdr:spPr bwMode="auto">
          <a:xfrm>
            <a:off x="760" y="839"/>
            <a:ext cx="26"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J</a:t>
            </a:r>
            <a:endParaRPr lang="fr-FR"/>
          </a:p>
        </xdr:txBody>
      </xdr:sp>
      <xdr:sp macro="" textlink="">
        <xdr:nvSpPr>
          <xdr:cNvPr id="55" name="Text Box 170"/>
          <xdr:cNvSpPr txBox="1">
            <a:spLocks noChangeArrowheads="1"/>
          </xdr:cNvSpPr>
        </xdr:nvSpPr>
        <xdr:spPr bwMode="auto">
          <a:xfrm>
            <a:off x="1014" y="791"/>
            <a:ext cx="19"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x</a:t>
            </a:r>
            <a:endParaRPr lang="fr-FR"/>
          </a:p>
        </xdr:txBody>
      </xdr:sp>
      <xdr:sp macro="" textlink="">
        <xdr:nvSpPr>
          <xdr:cNvPr id="56" name="Text Box 171"/>
          <xdr:cNvSpPr txBox="1">
            <a:spLocks noChangeArrowheads="1"/>
          </xdr:cNvSpPr>
        </xdr:nvSpPr>
        <xdr:spPr bwMode="auto">
          <a:xfrm>
            <a:off x="741" y="646"/>
            <a:ext cx="21"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y</a:t>
            </a:r>
            <a:endParaRPr lang="fr-FR"/>
          </a:p>
        </xdr:txBody>
      </xdr:sp>
      <xdr:sp macro="" textlink="">
        <xdr:nvSpPr>
          <xdr:cNvPr id="57" name="Line 182"/>
          <xdr:cNvSpPr>
            <a:spLocks noChangeShapeType="1"/>
          </xdr:cNvSpPr>
        </xdr:nvSpPr>
        <xdr:spPr bwMode="auto">
          <a:xfrm flipV="1">
            <a:off x="983" y="687"/>
            <a:ext cx="0" cy="116"/>
          </a:xfrm>
          <a:prstGeom prst="line">
            <a:avLst/>
          </a:prstGeom>
          <a:noFill/>
          <a:ln w="3175">
            <a:solidFill>
              <a:srgbClr xmlns:mc="http://schemas.openxmlformats.org/markup-compatibility/2006" xmlns:a14="http://schemas.microsoft.com/office/drawing/2010/main" val="969696" mc:Ignorable="a14" a14:legacySpreadsheetColorIndex="55"/>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58" name="Text Box 183"/>
          <xdr:cNvSpPr txBox="1">
            <a:spLocks noChangeArrowheads="1"/>
          </xdr:cNvSpPr>
        </xdr:nvSpPr>
        <xdr:spPr bwMode="auto">
          <a:xfrm>
            <a:off x="983" y="740"/>
            <a:ext cx="21"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P</a:t>
            </a:r>
            <a:endParaRPr lang="fr-FR"/>
          </a:p>
        </xdr:txBody>
      </xdr:sp>
      <xdr:sp macro="" textlink="">
        <xdr:nvSpPr>
          <xdr:cNvPr id="59" name="Line 186"/>
          <xdr:cNvSpPr>
            <a:spLocks noChangeShapeType="1"/>
          </xdr:cNvSpPr>
        </xdr:nvSpPr>
        <xdr:spPr bwMode="auto">
          <a:xfrm>
            <a:off x="964" y="687"/>
            <a:ext cx="2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0" name="Oval 188"/>
          <xdr:cNvSpPr>
            <a:spLocks noChangeArrowheads="1"/>
          </xdr:cNvSpPr>
        </xdr:nvSpPr>
        <xdr:spPr bwMode="auto">
          <a:xfrm>
            <a:off x="962" y="799"/>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61" name="Oval 189"/>
          <xdr:cNvSpPr>
            <a:spLocks noChangeArrowheads="1"/>
          </xdr:cNvSpPr>
        </xdr:nvSpPr>
        <xdr:spPr bwMode="auto">
          <a:xfrm>
            <a:off x="854" y="729"/>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62" name="Oval 190"/>
          <xdr:cNvSpPr>
            <a:spLocks noChangeArrowheads="1"/>
          </xdr:cNvSpPr>
        </xdr:nvSpPr>
        <xdr:spPr bwMode="auto">
          <a:xfrm>
            <a:off x="785" y="685"/>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63" name="Oval 192"/>
          <xdr:cNvSpPr>
            <a:spLocks noChangeArrowheads="1"/>
          </xdr:cNvSpPr>
        </xdr:nvSpPr>
        <xdr:spPr bwMode="auto">
          <a:xfrm>
            <a:off x="828" y="700"/>
            <a:ext cx="6" cy="6"/>
          </a:xfrm>
          <a:prstGeom prst="ellipse">
            <a:avLst/>
          </a:prstGeom>
          <a:solidFill>
            <a:srgbClr xmlns:mc="http://schemas.openxmlformats.org/markup-compatibility/2006" xmlns:a14="http://schemas.microsoft.com/office/drawing/2010/main" val="FF0000" mc:Ignorable="a14" a14:legacySpreadsheetColorIndex="10"/>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64" name="Arc 30"/>
          <xdr:cNvSpPr>
            <a:spLocks/>
          </xdr:cNvSpPr>
        </xdr:nvSpPr>
        <xdr:spPr bwMode="auto">
          <a:xfrm flipV="1">
            <a:off x="750" y="764"/>
            <a:ext cx="72" cy="38"/>
          </a:xfrm>
          <a:custGeom>
            <a:avLst/>
            <a:gdLst>
              <a:gd name="T0" fmla="*/ 0 w 21600"/>
              <a:gd name="T1" fmla="*/ 0 h 11783"/>
              <a:gd name="T2" fmla="*/ 0 w 21600"/>
              <a:gd name="T3" fmla="*/ 0 h 11783"/>
              <a:gd name="T4" fmla="*/ 0 w 21600"/>
              <a:gd name="T5" fmla="*/ 0 h 11783"/>
              <a:gd name="T6" fmla="*/ 0 60000 65536"/>
              <a:gd name="T7" fmla="*/ 0 60000 65536"/>
              <a:gd name="T8" fmla="*/ 0 60000 65536"/>
            </a:gdLst>
            <a:ahLst/>
            <a:cxnLst>
              <a:cxn ang="T6">
                <a:pos x="T0" y="T1"/>
              </a:cxn>
              <a:cxn ang="T7">
                <a:pos x="T2" y="T3"/>
              </a:cxn>
              <a:cxn ang="T8">
                <a:pos x="T4" y="T5"/>
              </a:cxn>
            </a:cxnLst>
            <a:rect l="0" t="0" r="r" b="b"/>
            <a:pathLst>
              <a:path w="21600" h="11783" fill="none" extrusionOk="0">
                <a:moveTo>
                  <a:pt x="21599" y="42"/>
                </a:moveTo>
                <a:cubicBezTo>
                  <a:pt x="21591" y="4211"/>
                  <a:pt x="20377" y="8289"/>
                  <a:pt x="18103" y="11783"/>
                </a:cubicBezTo>
              </a:path>
              <a:path w="21600" h="11783" stroke="0" extrusionOk="0">
                <a:moveTo>
                  <a:pt x="21599" y="42"/>
                </a:moveTo>
                <a:cubicBezTo>
                  <a:pt x="21591" y="4211"/>
                  <a:pt x="20377" y="8289"/>
                  <a:pt x="18103" y="11783"/>
                </a:cubicBezTo>
                <a:lnTo>
                  <a:pt x="0" y="0"/>
                </a:lnTo>
                <a:lnTo>
                  <a:pt x="21599" y="42"/>
                </a:lnTo>
                <a:close/>
              </a:path>
            </a:pathLst>
          </a:cu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65" name="Line 59"/>
          <xdr:cNvSpPr>
            <a:spLocks noChangeShapeType="1"/>
          </xdr:cNvSpPr>
        </xdr:nvSpPr>
        <xdr:spPr bwMode="auto">
          <a:xfrm>
            <a:off x="769" y="832"/>
            <a:ext cx="4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6" name="Text Box 61"/>
          <xdr:cNvSpPr txBox="1">
            <a:spLocks noChangeArrowheads="1"/>
          </xdr:cNvSpPr>
        </xdr:nvSpPr>
        <xdr:spPr bwMode="auto">
          <a:xfrm>
            <a:off x="816" y="768"/>
            <a:ext cx="26"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α</a:t>
            </a:r>
            <a:endParaRPr lang="fr-FR"/>
          </a:p>
        </xdr:txBody>
      </xdr:sp>
      <xdr:sp macro="" textlink="">
        <xdr:nvSpPr>
          <xdr:cNvPr id="67" name="Text Box 62"/>
          <xdr:cNvSpPr txBox="1">
            <a:spLocks noChangeArrowheads="1"/>
          </xdr:cNvSpPr>
        </xdr:nvSpPr>
        <xdr:spPr bwMode="auto">
          <a:xfrm>
            <a:off x="797" y="793"/>
            <a:ext cx="18" cy="2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β</a:t>
            </a:r>
            <a:endParaRPr lang="fr-FR"/>
          </a:p>
        </xdr:txBody>
      </xdr:sp>
      <xdr:sp macro="" textlink="">
        <xdr:nvSpPr>
          <xdr:cNvPr id="68" name="Arc 60"/>
          <xdr:cNvSpPr>
            <a:spLocks/>
          </xdr:cNvSpPr>
        </xdr:nvSpPr>
        <xdr:spPr bwMode="auto">
          <a:xfrm flipV="1">
            <a:off x="769" y="796"/>
            <a:ext cx="39" cy="36"/>
          </a:xfrm>
          <a:custGeom>
            <a:avLst/>
            <a:gdLst>
              <a:gd name="T0" fmla="*/ 0 w 21600"/>
              <a:gd name="T1" fmla="*/ 0 h 19683"/>
              <a:gd name="T2" fmla="*/ 0 w 21600"/>
              <a:gd name="T3" fmla="*/ 0 h 19683"/>
              <a:gd name="T4" fmla="*/ 0 w 21600"/>
              <a:gd name="T5" fmla="*/ 0 h 19683"/>
              <a:gd name="T6" fmla="*/ 0 60000 65536"/>
              <a:gd name="T7" fmla="*/ 0 60000 65536"/>
              <a:gd name="T8" fmla="*/ 0 60000 65536"/>
            </a:gdLst>
            <a:ahLst/>
            <a:cxnLst>
              <a:cxn ang="T6">
                <a:pos x="T0" y="T1"/>
              </a:cxn>
              <a:cxn ang="T7">
                <a:pos x="T2" y="T3"/>
              </a:cxn>
              <a:cxn ang="T8">
                <a:pos x="T4" y="T5"/>
              </a:cxn>
            </a:cxnLst>
            <a:rect l="0" t="0" r="r" b="b"/>
            <a:pathLst>
              <a:path w="21600" h="19683" fill="none" extrusionOk="0">
                <a:moveTo>
                  <a:pt x="21599" y="42"/>
                </a:moveTo>
                <a:cubicBezTo>
                  <a:pt x="21583" y="8514"/>
                  <a:pt x="16615" y="16194"/>
                  <a:pt x="8895" y="19683"/>
                </a:cubicBezTo>
              </a:path>
              <a:path w="21600" h="19683" stroke="0" extrusionOk="0">
                <a:moveTo>
                  <a:pt x="21599" y="42"/>
                </a:moveTo>
                <a:cubicBezTo>
                  <a:pt x="21583" y="8514"/>
                  <a:pt x="16615" y="16194"/>
                  <a:pt x="8895" y="19683"/>
                </a:cubicBezTo>
                <a:lnTo>
                  <a:pt x="0" y="0"/>
                </a:lnTo>
                <a:lnTo>
                  <a:pt x="21599" y="42"/>
                </a:lnTo>
                <a:close/>
              </a:path>
            </a:pathLst>
          </a:cu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69" name="Oval 224"/>
          <xdr:cNvSpPr>
            <a:spLocks noChangeArrowheads="1"/>
          </xdr:cNvSpPr>
        </xdr:nvSpPr>
        <xdr:spPr bwMode="auto">
          <a:xfrm>
            <a:off x="748" y="799"/>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70" name="Oval 225"/>
          <xdr:cNvSpPr>
            <a:spLocks noChangeArrowheads="1"/>
          </xdr:cNvSpPr>
        </xdr:nvSpPr>
        <xdr:spPr bwMode="auto">
          <a:xfrm>
            <a:off x="923" y="684"/>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71" name="Line 226"/>
          <xdr:cNvSpPr>
            <a:spLocks noChangeShapeType="1"/>
          </xdr:cNvSpPr>
        </xdr:nvSpPr>
        <xdr:spPr bwMode="auto">
          <a:xfrm>
            <a:off x="788" y="687"/>
            <a:ext cx="171"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nvGrpSpPr>
          <xdr:cNvPr id="72" name="Group 236"/>
          <xdr:cNvGrpSpPr>
            <a:grpSpLocks/>
          </xdr:cNvGrpSpPr>
        </xdr:nvGrpSpPr>
        <xdr:grpSpPr bwMode="auto">
          <a:xfrm>
            <a:off x="831" y="748"/>
            <a:ext cx="3" cy="17"/>
            <a:chOff x="840" y="490"/>
            <a:chExt cx="3" cy="17"/>
          </a:xfrm>
        </xdr:grpSpPr>
        <xdr:sp macro="" textlink="">
          <xdr:nvSpPr>
            <xdr:cNvPr id="82" name="Oval 232"/>
            <xdr:cNvSpPr>
              <a:spLocks noChangeArrowheads="1"/>
            </xdr:cNvSpPr>
          </xdr:nvSpPr>
          <xdr:spPr bwMode="auto">
            <a:xfrm>
              <a:off x="840" y="490"/>
              <a:ext cx="3" cy="3"/>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83" name="Line 234"/>
            <xdr:cNvSpPr>
              <a:spLocks noChangeShapeType="1"/>
            </xdr:cNvSpPr>
          </xdr:nvSpPr>
          <xdr:spPr bwMode="auto">
            <a:xfrm>
              <a:off x="841" y="490"/>
              <a:ext cx="0" cy="1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med"/>
            </a:ln>
            <a:extLst>
              <a:ext uri="{909E8E84-426E-40DD-AFC4-6F175D3DCCD1}">
                <a14:hiddenFill xmlns:a14="http://schemas.microsoft.com/office/drawing/2010/main">
                  <a:noFill/>
                </a14:hiddenFill>
              </a:ext>
            </a:extLst>
          </xdr:spPr>
        </xdr:sp>
      </xdr:grpSp>
      <xdr:sp macro="" textlink="">
        <xdr:nvSpPr>
          <xdr:cNvPr id="73" name="Text Box 235"/>
          <xdr:cNvSpPr txBox="1">
            <a:spLocks noChangeArrowheads="1"/>
          </xdr:cNvSpPr>
        </xdr:nvSpPr>
        <xdr:spPr bwMode="auto">
          <a:xfrm>
            <a:off x="831" y="762"/>
            <a:ext cx="34"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Pb3</a:t>
            </a:r>
            <a:endParaRPr lang="fr-FR"/>
          </a:p>
        </xdr:txBody>
      </xdr:sp>
      <xdr:grpSp>
        <xdr:nvGrpSpPr>
          <xdr:cNvPr id="74" name="Group 241"/>
          <xdr:cNvGrpSpPr>
            <a:grpSpLocks/>
          </xdr:cNvGrpSpPr>
        </xdr:nvGrpSpPr>
        <xdr:grpSpPr bwMode="auto">
          <a:xfrm>
            <a:off x="876" y="744"/>
            <a:ext cx="3" cy="17"/>
            <a:chOff x="840" y="490"/>
            <a:chExt cx="3" cy="17"/>
          </a:xfrm>
        </xdr:grpSpPr>
        <xdr:sp macro="" textlink="">
          <xdr:nvSpPr>
            <xdr:cNvPr id="80" name="Oval 242"/>
            <xdr:cNvSpPr>
              <a:spLocks noChangeArrowheads="1"/>
            </xdr:cNvSpPr>
          </xdr:nvSpPr>
          <xdr:spPr bwMode="auto">
            <a:xfrm>
              <a:off x="840" y="490"/>
              <a:ext cx="3" cy="3"/>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81" name="Line 243"/>
            <xdr:cNvSpPr>
              <a:spLocks noChangeShapeType="1"/>
            </xdr:cNvSpPr>
          </xdr:nvSpPr>
          <xdr:spPr bwMode="auto">
            <a:xfrm>
              <a:off x="841" y="490"/>
              <a:ext cx="0" cy="1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med"/>
            </a:ln>
            <a:extLst>
              <a:ext uri="{909E8E84-426E-40DD-AFC4-6F175D3DCCD1}">
                <a14:hiddenFill xmlns:a14="http://schemas.microsoft.com/office/drawing/2010/main">
                  <a:noFill/>
                </a14:hiddenFill>
              </a:ext>
            </a:extLst>
          </xdr:spPr>
        </xdr:sp>
      </xdr:grpSp>
      <xdr:sp macro="" textlink="">
        <xdr:nvSpPr>
          <xdr:cNvPr id="75" name="Text Box 244"/>
          <xdr:cNvSpPr txBox="1">
            <a:spLocks noChangeArrowheads="1"/>
          </xdr:cNvSpPr>
        </xdr:nvSpPr>
        <xdr:spPr bwMode="auto">
          <a:xfrm>
            <a:off x="864" y="762"/>
            <a:ext cx="35"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Pb4</a:t>
            </a:r>
            <a:endParaRPr lang="fr-FR"/>
          </a:p>
        </xdr:txBody>
      </xdr:sp>
      <xdr:sp macro="" textlink="">
        <xdr:nvSpPr>
          <xdr:cNvPr id="76" name="Text Box 792"/>
          <xdr:cNvSpPr txBox="1">
            <a:spLocks noChangeArrowheads="1"/>
          </xdr:cNvSpPr>
        </xdr:nvSpPr>
        <xdr:spPr bwMode="auto">
          <a:xfrm>
            <a:off x="929" y="697"/>
            <a:ext cx="40"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 Rr</a:t>
            </a:r>
          </a:p>
          <a:p>
            <a:pPr algn="ctr" rtl="0">
              <a:defRPr sz="1000"/>
            </a:pPr>
            <a:endParaRPr lang="fr-FR"/>
          </a:p>
        </xdr:txBody>
      </xdr:sp>
      <xdr:sp macro="" textlink="">
        <xdr:nvSpPr>
          <xdr:cNvPr id="77" name="Line 817"/>
          <xdr:cNvSpPr>
            <a:spLocks noChangeShapeType="1"/>
          </xdr:cNvSpPr>
        </xdr:nvSpPr>
        <xdr:spPr bwMode="auto">
          <a:xfrm flipV="1">
            <a:off x="790" y="615"/>
            <a:ext cx="109" cy="70"/>
          </a:xfrm>
          <a:prstGeom prst="line">
            <a:avLst/>
          </a:prstGeom>
          <a:noFill/>
          <a:ln w="3175">
            <a:solidFill>
              <a:srgbClr xmlns:mc="http://schemas.openxmlformats.org/markup-compatibility/2006" xmlns:a14="http://schemas.microsoft.com/office/drawing/2010/main" val="969696" mc:Ignorable="a14" a14:legacySpreadsheetColorIndex="55"/>
            </a:solidFill>
            <a:prstDash val="dashDot"/>
            <a:round/>
            <a:headEnd/>
            <a:tailEnd/>
          </a:ln>
          <a:extLst>
            <a:ext uri="{909E8E84-426E-40DD-AFC4-6F175D3DCCD1}">
              <a14:hiddenFill xmlns:a14="http://schemas.microsoft.com/office/drawing/2010/main">
                <a:noFill/>
              </a14:hiddenFill>
            </a:ext>
          </a:extLst>
        </xdr:spPr>
      </xdr:sp>
      <xdr:sp macro="" textlink="">
        <xdr:nvSpPr>
          <xdr:cNvPr id="78" name="Line 818"/>
          <xdr:cNvSpPr>
            <a:spLocks noChangeShapeType="1"/>
          </xdr:cNvSpPr>
        </xdr:nvSpPr>
        <xdr:spPr bwMode="auto">
          <a:xfrm>
            <a:off x="817" y="615"/>
            <a:ext cx="110" cy="72"/>
          </a:xfrm>
          <a:prstGeom prst="line">
            <a:avLst/>
          </a:prstGeom>
          <a:noFill/>
          <a:ln w="3175">
            <a:solidFill>
              <a:srgbClr xmlns:mc="http://schemas.openxmlformats.org/markup-compatibility/2006" xmlns:a14="http://schemas.microsoft.com/office/drawing/2010/main" val="969696" mc:Ignorable="a14" a14:legacySpreadsheetColorIndex="55"/>
            </a:solidFill>
            <a:prstDash val="dashDot"/>
            <a:round/>
            <a:headEnd/>
            <a:tailEnd/>
          </a:ln>
          <a:extLst>
            <a:ext uri="{909E8E84-426E-40DD-AFC4-6F175D3DCCD1}">
              <a14:hiddenFill xmlns:a14="http://schemas.microsoft.com/office/drawing/2010/main">
                <a:noFill/>
              </a14:hiddenFill>
            </a:ext>
          </a:extLst>
        </xdr:spPr>
      </xdr:sp>
      <xdr:sp macro="" textlink="">
        <xdr:nvSpPr>
          <xdr:cNvPr id="79" name="Text Box 820"/>
          <xdr:cNvSpPr txBox="1">
            <a:spLocks noChangeArrowheads="1"/>
          </xdr:cNvSpPr>
        </xdr:nvSpPr>
        <xdr:spPr bwMode="auto">
          <a:xfrm>
            <a:off x="846" y="624"/>
            <a:ext cx="23"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T</a:t>
            </a:r>
            <a:endParaRPr lang="fr-FR"/>
          </a:p>
        </xdr:txBody>
      </xdr:sp>
    </xdr:grpSp>
    <xdr:clientData/>
  </xdr:twoCellAnchor>
  <xdr:twoCellAnchor>
    <xdr:from>
      <xdr:col>6</xdr:col>
      <xdr:colOff>160020</xdr:colOff>
      <xdr:row>63</xdr:row>
      <xdr:rowOff>160020</xdr:rowOff>
    </xdr:from>
    <xdr:to>
      <xdr:col>9</xdr:col>
      <xdr:colOff>396240</xdr:colOff>
      <xdr:row>78</xdr:row>
      <xdr:rowOff>114300</xdr:rowOff>
    </xdr:to>
    <xdr:grpSp>
      <xdr:nvGrpSpPr>
        <xdr:cNvPr id="84" name="Group 912"/>
        <xdr:cNvGrpSpPr>
          <a:grpSpLocks/>
        </xdr:cNvGrpSpPr>
      </xdr:nvGrpSpPr>
      <xdr:grpSpPr bwMode="auto">
        <a:xfrm>
          <a:off x="4528820" y="10866120"/>
          <a:ext cx="2725420" cy="2481580"/>
          <a:chOff x="379" y="1051"/>
          <a:chExt cx="272" cy="263"/>
        </a:xfrm>
      </xdr:grpSpPr>
      <xdr:sp macro="" textlink="">
        <xdr:nvSpPr>
          <xdr:cNvPr id="85" name="AutoShape 827"/>
          <xdr:cNvSpPr>
            <a:spLocks noChangeAspect="1" noChangeArrowheads="1"/>
          </xdr:cNvSpPr>
        </xdr:nvSpPr>
        <xdr:spPr bwMode="auto">
          <a:xfrm rot="-8759377">
            <a:off x="490" y="1204"/>
            <a:ext cx="37" cy="2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670 w 21600"/>
              <a:gd name="T13" fmla="*/ 4909 h 21600"/>
              <a:gd name="T14" fmla="*/ 16930 w 21600"/>
              <a:gd name="T15" fmla="*/ 16691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86" name="Line 829"/>
          <xdr:cNvSpPr>
            <a:spLocks noChangeAspect="1" noChangeShapeType="1"/>
          </xdr:cNvSpPr>
        </xdr:nvSpPr>
        <xdr:spPr bwMode="auto">
          <a:xfrm>
            <a:off x="397" y="1153"/>
            <a:ext cx="164" cy="109"/>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87" name="Oval 831"/>
          <xdr:cNvSpPr>
            <a:spLocks noChangeAspect="1" noChangeArrowheads="1"/>
          </xdr:cNvSpPr>
        </xdr:nvSpPr>
        <xdr:spPr bwMode="auto">
          <a:xfrm>
            <a:off x="531" y="1242"/>
            <a:ext cx="8" cy="7"/>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88" name="Oval 832"/>
          <xdr:cNvSpPr>
            <a:spLocks noChangeAspect="1" noChangeArrowheads="1"/>
          </xdr:cNvSpPr>
        </xdr:nvSpPr>
        <xdr:spPr bwMode="auto">
          <a:xfrm>
            <a:off x="393" y="1150"/>
            <a:ext cx="8" cy="7"/>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89" name="Text Box 833"/>
          <xdr:cNvSpPr txBox="1">
            <a:spLocks noChangeAspect="1" noChangeArrowheads="1"/>
          </xdr:cNvSpPr>
        </xdr:nvSpPr>
        <xdr:spPr bwMode="auto">
          <a:xfrm>
            <a:off x="527" y="1254"/>
            <a:ext cx="18" cy="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T</a:t>
            </a:r>
            <a:endParaRPr lang="fr-FR"/>
          </a:p>
        </xdr:txBody>
      </xdr:sp>
      <xdr:sp macro="" textlink="">
        <xdr:nvSpPr>
          <xdr:cNvPr id="90" name="Text Box 834"/>
          <xdr:cNvSpPr txBox="1">
            <a:spLocks noChangeAspect="1" noChangeArrowheads="1"/>
          </xdr:cNvSpPr>
        </xdr:nvSpPr>
        <xdr:spPr bwMode="auto">
          <a:xfrm>
            <a:off x="379" y="1157"/>
            <a:ext cx="17" cy="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E</a:t>
            </a:r>
            <a:endParaRPr lang="fr-FR"/>
          </a:p>
        </xdr:txBody>
      </xdr:sp>
      <xdr:sp macro="" textlink="">
        <xdr:nvSpPr>
          <xdr:cNvPr id="91" name="Line 835"/>
          <xdr:cNvSpPr>
            <a:spLocks noChangeAspect="1" noChangeShapeType="1"/>
          </xdr:cNvSpPr>
        </xdr:nvSpPr>
        <xdr:spPr bwMode="auto">
          <a:xfrm rot="10800000" flipH="1" flipV="1">
            <a:off x="596" y="1287"/>
            <a:ext cx="38" cy="26"/>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92" name="Line 836"/>
          <xdr:cNvSpPr>
            <a:spLocks noChangeAspect="1" noChangeShapeType="1"/>
          </xdr:cNvSpPr>
        </xdr:nvSpPr>
        <xdr:spPr bwMode="auto">
          <a:xfrm rot="5400000" flipH="1" flipV="1">
            <a:off x="377" y="1086"/>
            <a:ext cx="89" cy="57"/>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93" name="Text Box 841"/>
          <xdr:cNvSpPr txBox="1">
            <a:spLocks noChangeAspect="1" noChangeArrowheads="1"/>
          </xdr:cNvSpPr>
        </xdr:nvSpPr>
        <xdr:spPr bwMode="auto">
          <a:xfrm>
            <a:off x="444" y="1051"/>
            <a:ext cx="27"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s</a:t>
            </a:r>
            <a:endParaRPr lang="fr-FR"/>
          </a:p>
        </xdr:txBody>
      </xdr:sp>
      <xdr:sp macro="" textlink="">
        <xdr:nvSpPr>
          <xdr:cNvPr id="94" name="Text Box 842"/>
          <xdr:cNvSpPr txBox="1">
            <a:spLocks noChangeAspect="1" noChangeArrowheads="1"/>
          </xdr:cNvSpPr>
        </xdr:nvSpPr>
        <xdr:spPr bwMode="auto">
          <a:xfrm>
            <a:off x="622" y="1287"/>
            <a:ext cx="29" cy="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r</a:t>
            </a:r>
            <a:endParaRPr lang="fr-FR"/>
          </a:p>
        </xdr:txBody>
      </xdr:sp>
      <xdr:sp macro="" textlink="">
        <xdr:nvSpPr>
          <xdr:cNvPr id="95" name="Text Box 843"/>
          <xdr:cNvSpPr txBox="1">
            <a:spLocks noChangeAspect="1" noChangeArrowheads="1"/>
          </xdr:cNvSpPr>
        </xdr:nvSpPr>
        <xdr:spPr bwMode="auto">
          <a:xfrm>
            <a:off x="443" y="1104"/>
            <a:ext cx="208" cy="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3366FF"/>
                </a:solidFill>
                <a:latin typeface="Arial"/>
                <a:cs typeface="Arial"/>
              </a:rPr>
              <a:t> </a:t>
            </a:r>
            <a:r>
              <a:rPr lang="fr-FR" sz="1400" b="0" i="0" u="none" strike="noStrike" baseline="0">
                <a:solidFill>
                  <a:srgbClr val="3366FF"/>
                </a:solidFill>
                <a:latin typeface="Arial"/>
                <a:cs typeface="Arial"/>
              </a:rPr>
              <a:t>* </a:t>
            </a:r>
            <a:r>
              <a:rPr lang="fr-FR" sz="1000" b="0" i="0" u="none" strike="noStrike" baseline="0">
                <a:solidFill>
                  <a:srgbClr val="3366FF"/>
                </a:solidFill>
                <a:latin typeface="Arial"/>
                <a:cs typeface="Arial"/>
              </a:rPr>
              <a:t>Détail position point</a:t>
            </a:r>
          </a:p>
          <a:p>
            <a:pPr algn="ctr" rtl="0">
              <a:defRPr sz="1000"/>
            </a:pPr>
            <a:r>
              <a:rPr lang="fr-FR" sz="1000" b="0" i="0" u="none" strike="noStrike" baseline="0">
                <a:solidFill>
                  <a:srgbClr val="3366FF"/>
                </a:solidFill>
                <a:latin typeface="Arial"/>
                <a:cs typeface="Arial"/>
              </a:rPr>
              <a:t> G2 dans repère rEs</a:t>
            </a:r>
            <a:endParaRPr lang="fr-FR"/>
          </a:p>
        </xdr:txBody>
      </xdr:sp>
      <xdr:sp macro="" textlink="">
        <xdr:nvSpPr>
          <xdr:cNvPr id="96" name="Oval 844"/>
          <xdr:cNvSpPr>
            <a:spLocks noChangeAspect="1" noChangeArrowheads="1"/>
          </xdr:cNvSpPr>
        </xdr:nvSpPr>
        <xdr:spPr bwMode="auto">
          <a:xfrm rot="-3939534">
            <a:off x="504" y="1212"/>
            <a:ext cx="7" cy="7"/>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8"/>
                </a:solidFill>
              </a14:hiddenFill>
            </a:ext>
          </a:extLst>
        </xdr:spPr>
      </xdr:sp>
      <xdr:sp macro="" textlink="">
        <xdr:nvSpPr>
          <xdr:cNvPr id="97" name="Text Box 845"/>
          <xdr:cNvSpPr txBox="1">
            <a:spLocks noChangeAspect="1" noChangeArrowheads="1"/>
          </xdr:cNvSpPr>
        </xdr:nvSpPr>
        <xdr:spPr bwMode="auto">
          <a:xfrm>
            <a:off x="503" y="1186"/>
            <a:ext cx="29"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G2</a:t>
            </a:r>
            <a:endParaRPr lang="fr-FR"/>
          </a:p>
        </xdr:txBody>
      </xdr:sp>
      <xdr:sp macro="" textlink="">
        <xdr:nvSpPr>
          <xdr:cNvPr id="98" name="Line 846"/>
          <xdr:cNvSpPr>
            <a:spLocks noChangeAspect="1" noChangeShapeType="1"/>
          </xdr:cNvSpPr>
        </xdr:nvSpPr>
        <xdr:spPr bwMode="auto">
          <a:xfrm rot="10800000" flipH="1" flipV="1">
            <a:off x="400" y="1144"/>
            <a:ext cx="112" cy="74"/>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sp macro="" textlink="">
        <xdr:nvSpPr>
          <xdr:cNvPr id="99" name="Line 847"/>
          <xdr:cNvSpPr>
            <a:spLocks noChangeAspect="1" noChangeShapeType="1"/>
          </xdr:cNvSpPr>
        </xdr:nvSpPr>
        <xdr:spPr bwMode="auto">
          <a:xfrm rot="5400000" flipH="1" flipV="1">
            <a:off x="496" y="1210"/>
            <a:ext cx="22" cy="14"/>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sp macro="" textlink="">
        <xdr:nvSpPr>
          <xdr:cNvPr id="100" name="Text Box 848"/>
          <xdr:cNvSpPr txBox="1">
            <a:spLocks noChangeAspect="1" noChangeArrowheads="1"/>
          </xdr:cNvSpPr>
        </xdr:nvSpPr>
        <xdr:spPr bwMode="auto">
          <a:xfrm>
            <a:off x="490" y="1230"/>
            <a:ext cx="17" cy="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h</a:t>
            </a:r>
            <a:endParaRPr lang="fr-FR"/>
          </a:p>
        </xdr:txBody>
      </xdr:sp>
      <xdr:sp macro="" textlink="">
        <xdr:nvSpPr>
          <xdr:cNvPr id="101" name="Text Box 849"/>
          <xdr:cNvSpPr txBox="1">
            <a:spLocks noChangeAspect="1" noChangeArrowheads="1"/>
          </xdr:cNvSpPr>
        </xdr:nvSpPr>
        <xdr:spPr bwMode="auto">
          <a:xfrm>
            <a:off x="379" y="1127"/>
            <a:ext cx="24" cy="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i</a:t>
            </a:r>
            <a:endParaRPr lang="fr-FR"/>
          </a:p>
        </xdr:txBody>
      </xdr:sp>
      <xdr:sp macro="" textlink="">
        <xdr:nvSpPr>
          <xdr:cNvPr id="102" name="Line 850"/>
          <xdr:cNvSpPr>
            <a:spLocks noChangeAspect="1" noChangeShapeType="1"/>
          </xdr:cNvSpPr>
        </xdr:nvSpPr>
        <xdr:spPr bwMode="auto">
          <a:xfrm>
            <a:off x="564" y="1265"/>
            <a:ext cx="33" cy="22"/>
          </a:xfrm>
          <a:prstGeom prst="line">
            <a:avLst/>
          </a:prstGeom>
          <a:noFill/>
          <a:ln w="190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sp macro="" textlink="">
        <xdr:nvSpPr>
          <xdr:cNvPr id="103" name="Oval 851"/>
          <xdr:cNvSpPr>
            <a:spLocks noChangeArrowheads="1"/>
          </xdr:cNvSpPr>
        </xdr:nvSpPr>
        <xdr:spPr bwMode="auto">
          <a:xfrm>
            <a:off x="592" y="1283"/>
            <a:ext cx="7" cy="8"/>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04" name="Text Box 852"/>
          <xdr:cNvSpPr txBox="1">
            <a:spLocks noChangeAspect="1" noChangeArrowheads="1"/>
          </xdr:cNvSpPr>
        </xdr:nvSpPr>
        <xdr:spPr bwMode="auto">
          <a:xfrm>
            <a:off x="575" y="1292"/>
            <a:ext cx="18" cy="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R</a:t>
            </a:r>
            <a:endParaRPr lang="fr-FR"/>
          </a:p>
        </xdr:txBody>
      </xdr:sp>
    </xdr:grpSp>
    <xdr:clientData/>
  </xdr:twoCellAnchor>
  <xdr:twoCellAnchor>
    <xdr:from>
      <xdr:col>5</xdr:col>
      <xdr:colOff>213360</xdr:colOff>
      <xdr:row>26</xdr:row>
      <xdr:rowOff>129540</xdr:rowOff>
    </xdr:from>
    <xdr:to>
      <xdr:col>10</xdr:col>
      <xdr:colOff>38100</xdr:colOff>
      <xdr:row>47</xdr:row>
      <xdr:rowOff>137160</xdr:rowOff>
    </xdr:to>
    <xdr:grpSp>
      <xdr:nvGrpSpPr>
        <xdr:cNvPr id="105" name="Group 906"/>
        <xdr:cNvGrpSpPr>
          <a:grpSpLocks/>
        </xdr:cNvGrpSpPr>
      </xdr:nvGrpSpPr>
      <xdr:grpSpPr bwMode="auto">
        <a:xfrm>
          <a:off x="3769360" y="4574540"/>
          <a:ext cx="3977640" cy="3474720"/>
          <a:chOff x="303" y="402"/>
          <a:chExt cx="397" cy="358"/>
        </a:xfrm>
      </xdr:grpSpPr>
      <xdr:sp macro="" textlink="">
        <xdr:nvSpPr>
          <xdr:cNvPr id="106" name="AutoShape 703"/>
          <xdr:cNvSpPr>
            <a:spLocks noChangeArrowheads="1"/>
          </xdr:cNvSpPr>
        </xdr:nvSpPr>
        <xdr:spPr bwMode="auto">
          <a:xfrm rot="1980000">
            <a:off x="360" y="623"/>
            <a:ext cx="267" cy="13"/>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6350">
            <a:solidFill>
              <a:srgbClr xmlns:mc="http://schemas.openxmlformats.org/markup-compatibility/2006" xmlns:a14="http://schemas.microsoft.com/office/drawing/2010/main" val="969696" mc:Ignorable="a14" a14:legacySpreadsheetColorIndex="55"/>
            </a:solidFill>
            <a:round/>
            <a:headEnd/>
            <a:tailEnd/>
          </a:ln>
        </xdr:spPr>
      </xdr:sp>
      <xdr:sp macro="" textlink="">
        <xdr:nvSpPr>
          <xdr:cNvPr id="107" name="AutoShape 644"/>
          <xdr:cNvSpPr>
            <a:spLocks noChangeArrowheads="1"/>
          </xdr:cNvSpPr>
        </xdr:nvSpPr>
        <xdr:spPr bwMode="auto">
          <a:xfrm rot="1980000">
            <a:off x="396" y="509"/>
            <a:ext cx="174" cy="1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6350">
            <a:solidFill>
              <a:srgbClr xmlns:mc="http://schemas.openxmlformats.org/markup-compatibility/2006" xmlns:a14="http://schemas.microsoft.com/office/drawing/2010/main" val="969696" mc:Ignorable="a14" a14:legacySpreadsheetColorIndex="55"/>
            </a:solidFill>
            <a:round/>
            <a:headEnd/>
            <a:tailEnd/>
          </a:ln>
        </xdr:spPr>
      </xdr:sp>
      <xdr:sp macro="" textlink="">
        <xdr:nvSpPr>
          <xdr:cNvPr id="108" name="Text Box 645"/>
          <xdr:cNvSpPr txBox="1">
            <a:spLocks noChangeArrowheads="1"/>
          </xdr:cNvSpPr>
        </xdr:nvSpPr>
        <xdr:spPr bwMode="auto">
          <a:xfrm>
            <a:off x="473" y="445"/>
            <a:ext cx="33"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N</a:t>
            </a:r>
            <a:endParaRPr lang="fr-FR"/>
          </a:p>
        </xdr:txBody>
      </xdr:sp>
      <xdr:sp macro="" textlink="">
        <xdr:nvSpPr>
          <xdr:cNvPr id="109" name="Line 646"/>
          <xdr:cNvSpPr>
            <a:spLocks noChangeShapeType="1"/>
          </xdr:cNvSpPr>
        </xdr:nvSpPr>
        <xdr:spPr bwMode="auto">
          <a:xfrm rot="5400000">
            <a:off x="466" y="457"/>
            <a:ext cx="27" cy="0"/>
          </a:xfrm>
          <a:prstGeom prst="line">
            <a:avLst/>
          </a:prstGeom>
          <a:noFill/>
          <a:ln w="952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sp macro="" textlink="">
        <xdr:nvSpPr>
          <xdr:cNvPr id="110" name="Text Box 652"/>
          <xdr:cNvSpPr txBox="1">
            <a:spLocks noChangeArrowheads="1"/>
          </xdr:cNvSpPr>
        </xdr:nvSpPr>
        <xdr:spPr bwMode="auto">
          <a:xfrm>
            <a:off x="508" y="445"/>
            <a:ext cx="28" cy="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B</a:t>
            </a:r>
            <a:endParaRPr lang="fr-FR"/>
          </a:p>
        </xdr:txBody>
      </xdr:sp>
      <xdr:sp macro="" textlink="">
        <xdr:nvSpPr>
          <xdr:cNvPr id="111" name="Text Box 653"/>
          <xdr:cNvSpPr txBox="1">
            <a:spLocks noChangeArrowheads="1"/>
          </xdr:cNvSpPr>
        </xdr:nvSpPr>
        <xdr:spPr bwMode="auto">
          <a:xfrm>
            <a:off x="398" y="445"/>
            <a:ext cx="30" cy="3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E</a:t>
            </a:r>
            <a:endParaRPr lang="fr-FR"/>
          </a:p>
        </xdr:txBody>
      </xdr:sp>
      <xdr:sp macro="" textlink="">
        <xdr:nvSpPr>
          <xdr:cNvPr id="112" name="Text Box 656"/>
          <xdr:cNvSpPr txBox="1">
            <a:spLocks noChangeArrowheads="1"/>
          </xdr:cNvSpPr>
        </xdr:nvSpPr>
        <xdr:spPr bwMode="auto">
          <a:xfrm>
            <a:off x="453" y="516"/>
            <a:ext cx="28" cy="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T</a:t>
            </a:r>
            <a:endParaRPr lang="fr-FR"/>
          </a:p>
        </xdr:txBody>
      </xdr:sp>
      <xdr:sp macro="" textlink="">
        <xdr:nvSpPr>
          <xdr:cNvPr id="113" name="Line 662"/>
          <xdr:cNvSpPr>
            <a:spLocks noChangeShapeType="1"/>
          </xdr:cNvSpPr>
        </xdr:nvSpPr>
        <xdr:spPr bwMode="auto">
          <a:xfrm>
            <a:off x="480" y="402"/>
            <a:ext cx="0" cy="4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sp macro="" textlink="">
        <xdr:nvSpPr>
          <xdr:cNvPr id="114" name="Text Box 663"/>
          <xdr:cNvSpPr txBox="1">
            <a:spLocks noChangeArrowheads="1"/>
          </xdr:cNvSpPr>
        </xdr:nvSpPr>
        <xdr:spPr bwMode="auto">
          <a:xfrm>
            <a:off x="476" y="407"/>
            <a:ext cx="75"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Charge</a:t>
            </a:r>
            <a:endParaRPr lang="fr-FR"/>
          </a:p>
        </xdr:txBody>
      </xdr:sp>
      <xdr:sp macro="" textlink="">
        <xdr:nvSpPr>
          <xdr:cNvPr id="115" name="Text Box 665"/>
          <xdr:cNvSpPr txBox="1">
            <a:spLocks noChangeArrowheads="1"/>
          </xdr:cNvSpPr>
        </xdr:nvSpPr>
        <xdr:spPr bwMode="auto">
          <a:xfrm>
            <a:off x="622" y="572"/>
            <a:ext cx="22"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P</a:t>
            </a:r>
            <a:endParaRPr lang="fr-FR"/>
          </a:p>
        </xdr:txBody>
      </xdr:sp>
      <xdr:sp macro="" textlink="">
        <xdr:nvSpPr>
          <xdr:cNvPr id="116" name="Oval 666"/>
          <xdr:cNvSpPr>
            <a:spLocks noChangeArrowheads="1"/>
          </xdr:cNvSpPr>
        </xdr:nvSpPr>
        <xdr:spPr bwMode="auto">
          <a:xfrm>
            <a:off x="479" y="471"/>
            <a:ext cx="3" cy="3"/>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17" name="Line 667"/>
          <xdr:cNvSpPr>
            <a:spLocks noChangeShapeType="1"/>
          </xdr:cNvSpPr>
        </xdr:nvSpPr>
        <xdr:spPr bwMode="auto">
          <a:xfrm>
            <a:off x="554" y="474"/>
            <a:ext cx="7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18" name="Line 675"/>
          <xdr:cNvSpPr>
            <a:spLocks noChangeShapeType="1"/>
          </xdr:cNvSpPr>
        </xdr:nvSpPr>
        <xdr:spPr bwMode="auto">
          <a:xfrm>
            <a:off x="497" y="477"/>
            <a:ext cx="4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19" name="Oval 679"/>
          <xdr:cNvSpPr>
            <a:spLocks noChangeArrowheads="1"/>
          </xdr:cNvSpPr>
        </xdr:nvSpPr>
        <xdr:spPr bwMode="auto">
          <a:xfrm>
            <a:off x="467" y="471"/>
            <a:ext cx="4" cy="3"/>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20" name="Text Box 680"/>
          <xdr:cNvSpPr txBox="1">
            <a:spLocks noChangeArrowheads="1"/>
          </xdr:cNvSpPr>
        </xdr:nvSpPr>
        <xdr:spPr bwMode="auto">
          <a:xfrm>
            <a:off x="450" y="445"/>
            <a:ext cx="28" cy="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M</a:t>
            </a:r>
            <a:endParaRPr lang="fr-FR"/>
          </a:p>
        </xdr:txBody>
      </xdr:sp>
      <xdr:sp macro="" textlink="">
        <xdr:nvSpPr>
          <xdr:cNvPr id="121" name="Line 681"/>
          <xdr:cNvSpPr>
            <a:spLocks noChangeShapeType="1"/>
          </xdr:cNvSpPr>
        </xdr:nvSpPr>
        <xdr:spPr bwMode="auto">
          <a:xfrm>
            <a:off x="469" y="473"/>
            <a:ext cx="0" cy="2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med"/>
          </a:ln>
          <a:extLst>
            <a:ext uri="{909E8E84-426E-40DD-AFC4-6F175D3DCCD1}">
              <a14:hiddenFill xmlns:a14="http://schemas.microsoft.com/office/drawing/2010/main">
                <a:noFill/>
              </a14:hiddenFill>
            </a:ext>
          </a:extLst>
        </xdr:spPr>
      </xdr:sp>
      <xdr:sp macro="" textlink="">
        <xdr:nvSpPr>
          <xdr:cNvPr id="122" name="Text Box 682"/>
          <xdr:cNvSpPr txBox="1">
            <a:spLocks noChangeArrowheads="1"/>
          </xdr:cNvSpPr>
        </xdr:nvSpPr>
        <xdr:spPr bwMode="auto">
          <a:xfrm>
            <a:off x="443" y="467"/>
            <a:ext cx="32"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Pt</a:t>
            </a:r>
            <a:endParaRPr lang="fr-FR"/>
          </a:p>
        </xdr:txBody>
      </xdr:sp>
      <xdr:sp macro="" textlink="">
        <xdr:nvSpPr>
          <xdr:cNvPr id="123" name="Rectangle 683"/>
          <xdr:cNvSpPr>
            <a:spLocks noChangeArrowheads="1"/>
          </xdr:cNvSpPr>
        </xdr:nvSpPr>
        <xdr:spPr bwMode="auto">
          <a:xfrm>
            <a:off x="405" y="463"/>
            <a:ext cx="157" cy="20"/>
          </a:xfrm>
          <a:prstGeom prst="rect">
            <a:avLst/>
          </a:prstGeom>
          <a:noFill/>
          <a:ln w="9525">
            <a:solidFill>
              <a:srgbClr xmlns:mc="http://schemas.openxmlformats.org/markup-compatibility/2006" xmlns:a14="http://schemas.microsoft.com/office/drawing/2010/main" val="969696" mc:Ignorable="a14" a14:legacySpreadsheetColorIndex="55"/>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24" name="AutoShape 684"/>
          <xdr:cNvSpPr>
            <a:spLocks noChangeArrowheads="1"/>
          </xdr:cNvSpPr>
        </xdr:nvSpPr>
        <xdr:spPr bwMode="auto">
          <a:xfrm rot="19620000" flipH="1">
            <a:off x="368" y="510"/>
            <a:ext cx="173" cy="14"/>
          </a:xfrm>
          <a:prstGeom prst="roundRect">
            <a:avLst>
              <a:gd name="adj" fmla="val 16667"/>
            </a:avLst>
          </a:prstGeom>
          <a:noFill/>
          <a:ln w="6350">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nvGrpSpPr>
          <xdr:cNvPr id="125" name="Group 686"/>
          <xdr:cNvGrpSpPr>
            <a:grpSpLocks/>
          </xdr:cNvGrpSpPr>
        </xdr:nvGrpSpPr>
        <xdr:grpSpPr bwMode="auto">
          <a:xfrm>
            <a:off x="448" y="520"/>
            <a:ext cx="3" cy="21"/>
            <a:chOff x="840" y="490"/>
            <a:chExt cx="3" cy="17"/>
          </a:xfrm>
        </xdr:grpSpPr>
        <xdr:sp macro="" textlink="">
          <xdr:nvSpPr>
            <xdr:cNvPr id="184" name="Oval 687"/>
            <xdr:cNvSpPr>
              <a:spLocks noChangeArrowheads="1"/>
            </xdr:cNvSpPr>
          </xdr:nvSpPr>
          <xdr:spPr bwMode="auto">
            <a:xfrm>
              <a:off x="840" y="490"/>
              <a:ext cx="3" cy="3"/>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85" name="Line 688"/>
            <xdr:cNvSpPr>
              <a:spLocks noChangeShapeType="1"/>
            </xdr:cNvSpPr>
          </xdr:nvSpPr>
          <xdr:spPr bwMode="auto">
            <a:xfrm>
              <a:off x="841" y="490"/>
              <a:ext cx="0" cy="1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med"/>
            </a:ln>
            <a:extLst>
              <a:ext uri="{909E8E84-426E-40DD-AFC4-6F175D3DCCD1}">
                <a14:hiddenFill xmlns:a14="http://schemas.microsoft.com/office/drawing/2010/main">
                  <a:noFill/>
                </a14:hiddenFill>
              </a:ext>
            </a:extLst>
          </xdr:spPr>
        </xdr:sp>
      </xdr:grpSp>
      <xdr:grpSp>
        <xdr:nvGrpSpPr>
          <xdr:cNvPr id="126" name="Group 689"/>
          <xdr:cNvGrpSpPr>
            <a:grpSpLocks/>
          </xdr:cNvGrpSpPr>
        </xdr:nvGrpSpPr>
        <xdr:grpSpPr bwMode="auto">
          <a:xfrm>
            <a:off x="484" y="518"/>
            <a:ext cx="5" cy="23"/>
            <a:chOff x="840" y="490"/>
            <a:chExt cx="3" cy="17"/>
          </a:xfrm>
        </xdr:grpSpPr>
        <xdr:sp macro="" textlink="">
          <xdr:nvSpPr>
            <xdr:cNvPr id="182" name="Oval 690"/>
            <xdr:cNvSpPr>
              <a:spLocks noChangeArrowheads="1"/>
            </xdr:cNvSpPr>
          </xdr:nvSpPr>
          <xdr:spPr bwMode="auto">
            <a:xfrm>
              <a:off x="840" y="490"/>
              <a:ext cx="3" cy="3"/>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83" name="Line 691"/>
            <xdr:cNvSpPr>
              <a:spLocks noChangeShapeType="1"/>
            </xdr:cNvSpPr>
          </xdr:nvSpPr>
          <xdr:spPr bwMode="auto">
            <a:xfrm>
              <a:off x="841" y="490"/>
              <a:ext cx="0" cy="1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med"/>
            </a:ln>
            <a:extLst>
              <a:ext uri="{909E8E84-426E-40DD-AFC4-6F175D3DCCD1}">
                <a14:hiddenFill xmlns:a14="http://schemas.microsoft.com/office/drawing/2010/main">
                  <a:noFill/>
                </a14:hiddenFill>
              </a:ext>
            </a:extLst>
          </xdr:spPr>
        </xdr:sp>
      </xdr:grpSp>
      <xdr:sp macro="" textlink="">
        <xdr:nvSpPr>
          <xdr:cNvPr id="127" name="Rectangle 692"/>
          <xdr:cNvSpPr>
            <a:spLocks noChangeArrowheads="1"/>
          </xdr:cNvSpPr>
        </xdr:nvSpPr>
        <xdr:spPr bwMode="auto">
          <a:xfrm>
            <a:off x="490" y="512"/>
            <a:ext cx="13" cy="1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28" name="Rectangle 693"/>
          <xdr:cNvSpPr>
            <a:spLocks noChangeArrowheads="1"/>
          </xdr:cNvSpPr>
        </xdr:nvSpPr>
        <xdr:spPr bwMode="auto">
          <a:xfrm>
            <a:off x="437" y="506"/>
            <a:ext cx="22" cy="12"/>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29" name="Text Box 694"/>
          <xdr:cNvSpPr txBox="1">
            <a:spLocks noChangeArrowheads="1"/>
          </xdr:cNvSpPr>
        </xdr:nvSpPr>
        <xdr:spPr bwMode="auto">
          <a:xfrm>
            <a:off x="424" y="503"/>
            <a:ext cx="39"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G1</a:t>
            </a:r>
            <a:r>
              <a:rPr lang="fr-FR" sz="1000" b="0" i="0" u="none" strike="noStrike" baseline="0">
                <a:solidFill>
                  <a:srgbClr val="3366FF"/>
                </a:solidFill>
                <a:latin typeface="Arial"/>
                <a:cs typeface="Arial"/>
              </a:rPr>
              <a:t>**</a:t>
            </a:r>
            <a:endParaRPr lang="fr-FR"/>
          </a:p>
        </xdr:txBody>
      </xdr:sp>
      <xdr:sp macro="" textlink="">
        <xdr:nvSpPr>
          <xdr:cNvPr id="130" name="Text Box 695"/>
          <xdr:cNvSpPr txBox="1">
            <a:spLocks noChangeArrowheads="1"/>
          </xdr:cNvSpPr>
        </xdr:nvSpPr>
        <xdr:spPr bwMode="auto">
          <a:xfrm>
            <a:off x="429" y="538"/>
            <a:ext cx="35" cy="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Pb1</a:t>
            </a:r>
            <a:endParaRPr lang="fr-FR"/>
          </a:p>
        </xdr:txBody>
      </xdr:sp>
      <xdr:sp macro="" textlink="">
        <xdr:nvSpPr>
          <xdr:cNvPr id="131" name="Text Box 696"/>
          <xdr:cNvSpPr txBox="1">
            <a:spLocks noChangeArrowheads="1"/>
          </xdr:cNvSpPr>
        </xdr:nvSpPr>
        <xdr:spPr bwMode="auto">
          <a:xfrm>
            <a:off x="472" y="538"/>
            <a:ext cx="37" cy="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Pb2</a:t>
            </a:r>
            <a:endParaRPr lang="fr-FR"/>
          </a:p>
        </xdr:txBody>
      </xdr:sp>
      <xdr:sp macro="" textlink="">
        <xdr:nvSpPr>
          <xdr:cNvPr id="132" name="Text Box 697"/>
          <xdr:cNvSpPr txBox="1">
            <a:spLocks noChangeArrowheads="1"/>
          </xdr:cNvSpPr>
        </xdr:nvSpPr>
        <xdr:spPr bwMode="auto">
          <a:xfrm>
            <a:off x="487" y="503"/>
            <a:ext cx="41" cy="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G2</a:t>
            </a:r>
            <a:r>
              <a:rPr lang="fr-FR" sz="1000" b="0" i="0" u="none" strike="noStrike" baseline="0">
                <a:solidFill>
                  <a:srgbClr val="FF0000"/>
                </a:solidFill>
                <a:latin typeface="Arial"/>
                <a:cs typeface="Arial"/>
              </a:rPr>
              <a:t> </a:t>
            </a:r>
            <a:r>
              <a:rPr lang="fr-FR" sz="1000" b="0" i="0" u="none" strike="noStrike" baseline="0">
                <a:solidFill>
                  <a:srgbClr val="3366FF"/>
                </a:solidFill>
                <a:latin typeface="Arial"/>
                <a:cs typeface="Arial"/>
              </a:rPr>
              <a:t>*</a:t>
            </a:r>
            <a:endParaRPr lang="fr-FR" sz="1000" b="0" i="0" u="none" strike="noStrike" baseline="0">
              <a:solidFill>
                <a:srgbClr val="000000"/>
              </a:solidFill>
              <a:latin typeface="Arial"/>
              <a:cs typeface="Arial"/>
            </a:endParaRPr>
          </a:p>
          <a:p>
            <a:pPr algn="ctr" rtl="0">
              <a:defRPr sz="1000"/>
            </a:pPr>
            <a:endParaRPr lang="fr-FR"/>
          </a:p>
        </xdr:txBody>
      </xdr:sp>
      <xdr:sp macro="" textlink="">
        <xdr:nvSpPr>
          <xdr:cNvPr id="133" name="Line 698"/>
          <xdr:cNvSpPr>
            <a:spLocks noChangeShapeType="1"/>
          </xdr:cNvSpPr>
        </xdr:nvSpPr>
        <xdr:spPr bwMode="auto">
          <a:xfrm>
            <a:off x="497" y="469"/>
            <a:ext cx="4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34" name="Rectangle 700"/>
          <xdr:cNvSpPr>
            <a:spLocks noChangeArrowheads="1"/>
          </xdr:cNvSpPr>
        </xdr:nvSpPr>
        <xdr:spPr bwMode="auto">
          <a:xfrm>
            <a:off x="563" y="552"/>
            <a:ext cx="10" cy="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35" name="Oval 706"/>
          <xdr:cNvSpPr>
            <a:spLocks noChangeArrowheads="1"/>
          </xdr:cNvSpPr>
        </xdr:nvSpPr>
        <xdr:spPr bwMode="auto">
          <a:xfrm>
            <a:off x="355" y="727"/>
            <a:ext cx="8" cy="7"/>
          </a:xfrm>
          <a:prstGeom prst="ellipse">
            <a:avLst/>
          </a:prstGeom>
          <a:solidFill>
            <a:srgbClr xmlns:mc="http://schemas.openxmlformats.org/markup-compatibility/2006" xmlns:a14="http://schemas.microsoft.com/office/drawing/2010/main" val="FF0000" mc:Ignorable="a14" a14:legacySpreadsheetColorIndex="10"/>
          </a:solidFill>
          <a:ln w="9525">
            <a:solidFill>
              <a:srgbClr xmlns:mc="http://schemas.openxmlformats.org/markup-compatibility/2006" xmlns:a14="http://schemas.microsoft.com/office/drawing/2010/main" val="FF0000" mc:Ignorable="a14" a14:legacySpreadsheetColorIndex="10"/>
            </a:solidFill>
            <a:round/>
            <a:headEnd/>
            <a:tailEnd/>
          </a:ln>
        </xdr:spPr>
      </xdr:sp>
      <xdr:sp macro="" textlink="">
        <xdr:nvSpPr>
          <xdr:cNvPr id="136" name="Line 707"/>
          <xdr:cNvSpPr>
            <a:spLocks noChangeShapeType="1"/>
          </xdr:cNvSpPr>
        </xdr:nvSpPr>
        <xdr:spPr bwMode="auto">
          <a:xfrm flipV="1">
            <a:off x="341" y="426"/>
            <a:ext cx="0" cy="319"/>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137" name="Line 708"/>
          <xdr:cNvSpPr>
            <a:spLocks noChangeShapeType="1"/>
          </xdr:cNvSpPr>
        </xdr:nvSpPr>
        <xdr:spPr bwMode="auto">
          <a:xfrm rot="5400000" flipV="1">
            <a:off x="491" y="509"/>
            <a:ext cx="0" cy="376"/>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138" name="Line 709"/>
          <xdr:cNvSpPr>
            <a:spLocks noChangeShapeType="1"/>
          </xdr:cNvSpPr>
        </xdr:nvSpPr>
        <xdr:spPr bwMode="auto">
          <a:xfrm flipV="1">
            <a:off x="360" y="581"/>
            <a:ext cx="76" cy="148"/>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sp macro="" textlink="">
        <xdr:nvSpPr>
          <xdr:cNvPr id="139" name="Text Box 710"/>
          <xdr:cNvSpPr txBox="1">
            <a:spLocks noChangeArrowheads="1"/>
          </xdr:cNvSpPr>
        </xdr:nvSpPr>
        <xdr:spPr bwMode="auto">
          <a:xfrm>
            <a:off x="309" y="677"/>
            <a:ext cx="28" cy="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A</a:t>
            </a:r>
            <a:endParaRPr lang="fr-FR"/>
          </a:p>
        </xdr:txBody>
      </xdr:sp>
      <xdr:sp macro="" textlink="">
        <xdr:nvSpPr>
          <xdr:cNvPr id="140" name="Text Box 711"/>
          <xdr:cNvSpPr txBox="1">
            <a:spLocks noChangeArrowheads="1"/>
          </xdr:cNvSpPr>
        </xdr:nvSpPr>
        <xdr:spPr bwMode="auto">
          <a:xfrm>
            <a:off x="561" y="550"/>
            <a:ext cx="24" cy="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R</a:t>
            </a:r>
            <a:endParaRPr lang="fr-FR"/>
          </a:p>
        </xdr:txBody>
      </xdr:sp>
      <xdr:sp macro="" textlink="">
        <xdr:nvSpPr>
          <xdr:cNvPr id="141" name="Text Box 712"/>
          <xdr:cNvSpPr txBox="1">
            <a:spLocks noChangeArrowheads="1"/>
          </xdr:cNvSpPr>
        </xdr:nvSpPr>
        <xdr:spPr bwMode="auto">
          <a:xfrm>
            <a:off x="355" y="552"/>
            <a:ext cx="25"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S</a:t>
            </a:r>
            <a:endParaRPr lang="fr-FR"/>
          </a:p>
        </xdr:txBody>
      </xdr:sp>
      <xdr:sp macro="" textlink="">
        <xdr:nvSpPr>
          <xdr:cNvPr id="142" name="Text Box 713"/>
          <xdr:cNvSpPr txBox="1">
            <a:spLocks noChangeArrowheads="1"/>
          </xdr:cNvSpPr>
        </xdr:nvSpPr>
        <xdr:spPr bwMode="auto">
          <a:xfrm>
            <a:off x="587" y="705"/>
            <a:ext cx="26"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C</a:t>
            </a:r>
            <a:endParaRPr lang="fr-FR"/>
          </a:p>
        </xdr:txBody>
      </xdr:sp>
      <xdr:sp macro="" textlink="">
        <xdr:nvSpPr>
          <xdr:cNvPr id="143" name="Text Box 714"/>
          <xdr:cNvSpPr txBox="1">
            <a:spLocks noChangeArrowheads="1"/>
          </xdr:cNvSpPr>
        </xdr:nvSpPr>
        <xdr:spPr bwMode="auto">
          <a:xfrm>
            <a:off x="436" y="577"/>
            <a:ext cx="36"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0000"/>
                </a:solidFill>
                <a:latin typeface="Arial"/>
                <a:cs typeface="Arial"/>
              </a:rPr>
              <a:t>H *</a:t>
            </a:r>
            <a:endParaRPr lang="fr-FR"/>
          </a:p>
        </xdr:txBody>
      </xdr:sp>
      <xdr:sp macro="" textlink="">
        <xdr:nvSpPr>
          <xdr:cNvPr id="144" name="Text Box 715"/>
          <xdr:cNvSpPr txBox="1">
            <a:spLocks noChangeArrowheads="1"/>
          </xdr:cNvSpPr>
        </xdr:nvSpPr>
        <xdr:spPr bwMode="auto">
          <a:xfrm>
            <a:off x="457" y="588"/>
            <a:ext cx="28"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D</a:t>
            </a:r>
            <a:endParaRPr lang="fr-FR"/>
          </a:p>
        </xdr:txBody>
      </xdr:sp>
      <xdr:sp macro="" textlink="">
        <xdr:nvSpPr>
          <xdr:cNvPr id="145" name="Text Box 716"/>
          <xdr:cNvSpPr txBox="1">
            <a:spLocks noChangeArrowheads="1"/>
          </xdr:cNvSpPr>
        </xdr:nvSpPr>
        <xdr:spPr bwMode="auto">
          <a:xfrm>
            <a:off x="350" y="736"/>
            <a:ext cx="24"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J</a:t>
            </a:r>
            <a:endParaRPr lang="fr-FR"/>
          </a:p>
        </xdr:txBody>
      </xdr:sp>
      <xdr:sp macro="" textlink="">
        <xdr:nvSpPr>
          <xdr:cNvPr id="146" name="Text Box 717"/>
          <xdr:cNvSpPr txBox="1">
            <a:spLocks noChangeArrowheads="1"/>
          </xdr:cNvSpPr>
        </xdr:nvSpPr>
        <xdr:spPr bwMode="auto">
          <a:xfrm>
            <a:off x="328" y="406"/>
            <a:ext cx="28" cy="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y</a:t>
            </a:r>
            <a:endParaRPr lang="fr-FR"/>
          </a:p>
        </xdr:txBody>
      </xdr:sp>
      <xdr:sp macro="" textlink="">
        <xdr:nvSpPr>
          <xdr:cNvPr id="147" name="Freeform 718"/>
          <xdr:cNvSpPr>
            <a:spLocks/>
          </xdr:cNvSpPr>
        </xdr:nvSpPr>
        <xdr:spPr bwMode="auto">
          <a:xfrm>
            <a:off x="335" y="695"/>
            <a:ext cx="24" cy="35"/>
          </a:xfrm>
          <a:custGeom>
            <a:avLst/>
            <a:gdLst>
              <a:gd name="T0" fmla="*/ 135 w 18"/>
              <a:gd name="T1" fmla="*/ 0 h 23"/>
              <a:gd name="T2" fmla="*/ 135 w 18"/>
              <a:gd name="T3" fmla="*/ 434 h 23"/>
              <a:gd name="T4" fmla="*/ 0 w 18"/>
              <a:gd name="T5" fmla="*/ 434 h 23"/>
              <a:gd name="T6" fmla="*/ 0 60000 65536"/>
              <a:gd name="T7" fmla="*/ 0 60000 65536"/>
              <a:gd name="T8" fmla="*/ 0 60000 65536"/>
            </a:gdLst>
            <a:ahLst/>
            <a:cxnLst>
              <a:cxn ang="T6">
                <a:pos x="T0" y="T1"/>
              </a:cxn>
              <a:cxn ang="T7">
                <a:pos x="T2" y="T3"/>
              </a:cxn>
              <a:cxn ang="T8">
                <a:pos x="T4" y="T5"/>
              </a:cxn>
            </a:cxnLst>
            <a:rect l="0" t="0" r="r" b="b"/>
            <a:pathLst>
              <a:path w="18" h="23">
                <a:moveTo>
                  <a:pt x="18" y="0"/>
                </a:moveTo>
                <a:lnTo>
                  <a:pt x="18" y="23"/>
                </a:lnTo>
                <a:lnTo>
                  <a:pt x="0" y="23"/>
                </a:lnTo>
              </a:path>
            </a:pathLst>
          </a:custGeom>
          <a:noFill/>
          <a:ln w="3175" cmpd="sng">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48" name="Text Box 719"/>
          <xdr:cNvSpPr txBox="1">
            <a:spLocks noChangeArrowheads="1"/>
          </xdr:cNvSpPr>
        </xdr:nvSpPr>
        <xdr:spPr bwMode="auto">
          <a:xfrm>
            <a:off x="348" y="657"/>
            <a:ext cx="24"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Xj</a:t>
            </a:r>
            <a:endParaRPr lang="fr-FR"/>
          </a:p>
        </xdr:txBody>
      </xdr:sp>
      <xdr:sp macro="" textlink="">
        <xdr:nvSpPr>
          <xdr:cNvPr id="149" name="Text Box 720"/>
          <xdr:cNvSpPr txBox="1">
            <a:spLocks noChangeArrowheads="1"/>
          </xdr:cNvSpPr>
        </xdr:nvSpPr>
        <xdr:spPr bwMode="auto">
          <a:xfrm>
            <a:off x="308" y="721"/>
            <a:ext cx="27"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Yj</a:t>
            </a:r>
            <a:endParaRPr lang="fr-FR"/>
          </a:p>
        </xdr:txBody>
      </xdr:sp>
      <xdr:sp macro="" textlink="">
        <xdr:nvSpPr>
          <xdr:cNvPr id="150" name="Text Box 723"/>
          <xdr:cNvSpPr txBox="1">
            <a:spLocks noChangeArrowheads="1"/>
          </xdr:cNvSpPr>
        </xdr:nvSpPr>
        <xdr:spPr bwMode="auto">
          <a:xfrm>
            <a:off x="352" y="623"/>
            <a:ext cx="53" cy="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0000"/>
                </a:solidFill>
                <a:latin typeface="Arial"/>
                <a:cs typeface="Arial"/>
              </a:rPr>
              <a:t>Vérin</a:t>
            </a:r>
            <a:endParaRPr lang="fr-FR"/>
          </a:p>
        </xdr:txBody>
      </xdr:sp>
      <xdr:sp macro="" textlink="">
        <xdr:nvSpPr>
          <xdr:cNvPr id="151" name="Oval 731"/>
          <xdr:cNvSpPr>
            <a:spLocks noChangeArrowheads="1"/>
          </xdr:cNvSpPr>
        </xdr:nvSpPr>
        <xdr:spPr bwMode="auto">
          <a:xfrm>
            <a:off x="549" y="557"/>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52" name="Oval 732"/>
          <xdr:cNvSpPr>
            <a:spLocks noChangeArrowheads="1"/>
          </xdr:cNvSpPr>
        </xdr:nvSpPr>
        <xdr:spPr bwMode="auto">
          <a:xfrm>
            <a:off x="432" y="575"/>
            <a:ext cx="7" cy="7"/>
          </a:xfrm>
          <a:prstGeom prst="ellipse">
            <a:avLst/>
          </a:prstGeom>
          <a:solidFill>
            <a:srgbClr xmlns:mc="http://schemas.openxmlformats.org/markup-compatibility/2006" xmlns:a14="http://schemas.microsoft.com/office/drawing/2010/main" val="FF0000" mc:Ignorable="a14" a14:legacySpreadsheetColorIndex="10"/>
          </a:solidFill>
          <a:ln w="9525">
            <a:solidFill>
              <a:srgbClr xmlns:mc="http://schemas.openxmlformats.org/markup-compatibility/2006" xmlns:a14="http://schemas.microsoft.com/office/drawing/2010/main" val="FF0000" mc:Ignorable="a14" a14:legacySpreadsheetColorIndex="10"/>
            </a:solidFill>
            <a:round/>
            <a:headEnd/>
            <a:tailEnd/>
          </a:ln>
        </xdr:spPr>
      </xdr:sp>
      <xdr:sp macro="" textlink="">
        <xdr:nvSpPr>
          <xdr:cNvPr id="153" name="Line 733"/>
          <xdr:cNvSpPr>
            <a:spLocks noChangeShapeType="1"/>
          </xdr:cNvSpPr>
        </xdr:nvSpPr>
        <xdr:spPr bwMode="auto">
          <a:xfrm>
            <a:off x="551" y="692"/>
            <a:ext cx="11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4" name="Line 735"/>
          <xdr:cNvSpPr>
            <a:spLocks noChangeShapeType="1"/>
          </xdr:cNvSpPr>
        </xdr:nvSpPr>
        <xdr:spPr bwMode="auto">
          <a:xfrm rot="5400000">
            <a:off x="334" y="704"/>
            <a:ext cx="14"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5" name="Rectangle 736" descr="noir)"/>
          <xdr:cNvSpPr>
            <a:spLocks noChangeArrowheads="1"/>
          </xdr:cNvSpPr>
        </xdr:nvSpPr>
        <xdr:spPr bwMode="auto">
          <a:xfrm>
            <a:off x="329" y="709"/>
            <a:ext cx="21" cy="11"/>
          </a:xfrm>
          <a:prstGeom prst="rect">
            <a:avLst/>
          </a:prstGeom>
          <a:pattFill prst="ltDnDiag">
            <a:fgClr>
              <a:srgbClr val="000000"/>
            </a:fgClr>
            <a:bgClr>
              <a:srgbClr val="FFFFFF"/>
            </a:bgClr>
          </a:patt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56" name="Line 737"/>
          <xdr:cNvSpPr>
            <a:spLocks noChangeShapeType="1"/>
          </xdr:cNvSpPr>
        </xdr:nvSpPr>
        <xdr:spPr bwMode="auto">
          <a:xfrm>
            <a:off x="329" y="710"/>
            <a:ext cx="21"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7" name="AutoShape 743"/>
          <xdr:cNvSpPr>
            <a:spLocks noChangeArrowheads="1"/>
          </xdr:cNvSpPr>
        </xdr:nvSpPr>
        <xdr:spPr bwMode="auto">
          <a:xfrm rot="19620000" flipH="1">
            <a:off x="314" y="622"/>
            <a:ext cx="267" cy="13"/>
          </a:xfrm>
          <a:prstGeom prst="roundRect">
            <a:avLst>
              <a:gd name="adj" fmla="val 16667"/>
            </a:avLst>
          </a:prstGeom>
          <a:noFill/>
          <a:ln w="6350">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58" name="Text Box 744"/>
          <xdr:cNvSpPr txBox="1">
            <a:spLocks noChangeArrowheads="1"/>
          </xdr:cNvSpPr>
        </xdr:nvSpPr>
        <xdr:spPr bwMode="auto">
          <a:xfrm>
            <a:off x="676" y="684"/>
            <a:ext cx="24"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x</a:t>
            </a:r>
            <a:endParaRPr lang="fr-FR"/>
          </a:p>
        </xdr:txBody>
      </xdr:sp>
      <xdr:grpSp>
        <xdr:nvGrpSpPr>
          <xdr:cNvPr id="159" name="Group 745"/>
          <xdr:cNvGrpSpPr>
            <a:grpSpLocks/>
          </xdr:cNvGrpSpPr>
        </xdr:nvGrpSpPr>
        <xdr:grpSpPr bwMode="auto">
          <a:xfrm>
            <a:off x="436" y="633"/>
            <a:ext cx="3" cy="20"/>
            <a:chOff x="840" y="490"/>
            <a:chExt cx="3" cy="17"/>
          </a:xfrm>
        </xdr:grpSpPr>
        <xdr:sp macro="" textlink="">
          <xdr:nvSpPr>
            <xdr:cNvPr id="180" name="Oval 746"/>
            <xdr:cNvSpPr>
              <a:spLocks noChangeArrowheads="1"/>
            </xdr:cNvSpPr>
          </xdr:nvSpPr>
          <xdr:spPr bwMode="auto">
            <a:xfrm>
              <a:off x="840" y="490"/>
              <a:ext cx="3" cy="3"/>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81" name="Line 747"/>
            <xdr:cNvSpPr>
              <a:spLocks noChangeShapeType="1"/>
            </xdr:cNvSpPr>
          </xdr:nvSpPr>
          <xdr:spPr bwMode="auto">
            <a:xfrm>
              <a:off x="841" y="490"/>
              <a:ext cx="0" cy="1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med"/>
            </a:ln>
            <a:extLst>
              <a:ext uri="{909E8E84-426E-40DD-AFC4-6F175D3DCCD1}">
                <a14:hiddenFill xmlns:a14="http://schemas.microsoft.com/office/drawing/2010/main">
                  <a:noFill/>
                </a14:hiddenFill>
              </a:ext>
            </a:extLst>
          </xdr:spPr>
        </xdr:sp>
      </xdr:grpSp>
      <xdr:grpSp>
        <xdr:nvGrpSpPr>
          <xdr:cNvPr id="160" name="Group 748"/>
          <xdr:cNvGrpSpPr>
            <a:grpSpLocks/>
          </xdr:cNvGrpSpPr>
        </xdr:nvGrpSpPr>
        <xdr:grpSpPr bwMode="auto">
          <a:xfrm>
            <a:off x="491" y="629"/>
            <a:ext cx="4" cy="21"/>
            <a:chOff x="840" y="490"/>
            <a:chExt cx="3" cy="17"/>
          </a:xfrm>
        </xdr:grpSpPr>
        <xdr:sp macro="" textlink="">
          <xdr:nvSpPr>
            <xdr:cNvPr id="178" name="Oval 749"/>
            <xdr:cNvSpPr>
              <a:spLocks noChangeArrowheads="1"/>
            </xdr:cNvSpPr>
          </xdr:nvSpPr>
          <xdr:spPr bwMode="auto">
            <a:xfrm>
              <a:off x="840" y="490"/>
              <a:ext cx="3" cy="3"/>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79" name="Line 750"/>
            <xdr:cNvSpPr>
              <a:spLocks noChangeShapeType="1"/>
            </xdr:cNvSpPr>
          </xdr:nvSpPr>
          <xdr:spPr bwMode="auto">
            <a:xfrm>
              <a:off x="841" y="490"/>
              <a:ext cx="0" cy="1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med"/>
            </a:ln>
            <a:extLst>
              <a:ext uri="{909E8E84-426E-40DD-AFC4-6F175D3DCCD1}">
                <a14:hiddenFill xmlns:a14="http://schemas.microsoft.com/office/drawing/2010/main">
                  <a:noFill/>
                </a14:hiddenFill>
              </a:ext>
            </a:extLst>
          </xdr:spPr>
        </xdr:sp>
      </xdr:grpSp>
      <xdr:sp macro="" textlink="">
        <xdr:nvSpPr>
          <xdr:cNvPr id="161" name="Rectangle 751"/>
          <xdr:cNvSpPr>
            <a:spLocks noChangeArrowheads="1"/>
          </xdr:cNvSpPr>
        </xdr:nvSpPr>
        <xdr:spPr bwMode="auto">
          <a:xfrm>
            <a:off x="501" y="620"/>
            <a:ext cx="19" cy="16"/>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62" name="Rectangle 752"/>
          <xdr:cNvSpPr>
            <a:spLocks noChangeArrowheads="1"/>
          </xdr:cNvSpPr>
        </xdr:nvSpPr>
        <xdr:spPr bwMode="auto">
          <a:xfrm>
            <a:off x="429" y="612"/>
            <a:ext cx="25" cy="19"/>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63" name="Text Box 753"/>
          <xdr:cNvSpPr txBox="1">
            <a:spLocks noChangeArrowheads="1"/>
          </xdr:cNvSpPr>
        </xdr:nvSpPr>
        <xdr:spPr bwMode="auto">
          <a:xfrm>
            <a:off x="417" y="612"/>
            <a:ext cx="40" cy="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G3</a:t>
            </a:r>
            <a:r>
              <a:rPr lang="fr-FR" sz="1000" b="0" i="0" u="none" strike="noStrike" baseline="0">
                <a:solidFill>
                  <a:srgbClr val="FF0000"/>
                </a:solidFill>
                <a:latin typeface="Arial"/>
                <a:cs typeface="Arial"/>
              </a:rPr>
              <a:t>**</a:t>
            </a:r>
            <a:endParaRPr lang="fr-FR"/>
          </a:p>
        </xdr:txBody>
      </xdr:sp>
      <xdr:sp macro="" textlink="">
        <xdr:nvSpPr>
          <xdr:cNvPr id="164" name="Text Box 754"/>
          <xdr:cNvSpPr txBox="1">
            <a:spLocks noChangeArrowheads="1"/>
          </xdr:cNvSpPr>
        </xdr:nvSpPr>
        <xdr:spPr bwMode="auto">
          <a:xfrm>
            <a:off x="421" y="652"/>
            <a:ext cx="41" cy="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Pb3</a:t>
            </a:r>
            <a:endParaRPr lang="fr-FR"/>
          </a:p>
        </xdr:txBody>
      </xdr:sp>
      <xdr:sp macro="" textlink="">
        <xdr:nvSpPr>
          <xdr:cNvPr id="165" name="Text Box 755"/>
          <xdr:cNvSpPr txBox="1">
            <a:spLocks noChangeArrowheads="1"/>
          </xdr:cNvSpPr>
        </xdr:nvSpPr>
        <xdr:spPr bwMode="auto">
          <a:xfrm>
            <a:off x="474" y="652"/>
            <a:ext cx="40" cy="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Pb4</a:t>
            </a:r>
            <a:endParaRPr lang="fr-FR"/>
          </a:p>
        </xdr:txBody>
      </xdr:sp>
      <xdr:sp macro="" textlink="">
        <xdr:nvSpPr>
          <xdr:cNvPr id="166" name="Text Box 756"/>
          <xdr:cNvSpPr txBox="1">
            <a:spLocks noChangeArrowheads="1"/>
          </xdr:cNvSpPr>
        </xdr:nvSpPr>
        <xdr:spPr bwMode="auto">
          <a:xfrm>
            <a:off x="494" y="619"/>
            <a:ext cx="51"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G4</a:t>
            </a:r>
            <a:r>
              <a:rPr lang="fr-FR" sz="1000" b="0" i="0" u="none" strike="noStrike" baseline="0">
                <a:solidFill>
                  <a:srgbClr val="FF0000"/>
                </a:solidFill>
                <a:latin typeface="Arial"/>
                <a:cs typeface="Arial"/>
              </a:rPr>
              <a:t> *</a:t>
            </a:r>
            <a:endParaRPr lang="fr-FR" sz="1000" b="0" i="0" u="none" strike="noStrike" baseline="0">
              <a:solidFill>
                <a:srgbClr val="000000"/>
              </a:solidFill>
              <a:latin typeface="Arial"/>
              <a:cs typeface="Arial"/>
            </a:endParaRPr>
          </a:p>
          <a:p>
            <a:pPr algn="ctr" rtl="0">
              <a:defRPr sz="1000"/>
            </a:pPr>
            <a:endParaRPr lang="fr-FR"/>
          </a:p>
        </xdr:txBody>
      </xdr:sp>
      <xdr:sp macro="" textlink="">
        <xdr:nvSpPr>
          <xdr:cNvPr id="167" name="Line 758"/>
          <xdr:cNvSpPr>
            <a:spLocks noChangeShapeType="1"/>
          </xdr:cNvSpPr>
        </xdr:nvSpPr>
        <xdr:spPr bwMode="auto">
          <a:xfrm>
            <a:off x="551" y="702"/>
            <a:ext cx="11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8" name="Rectangle 759"/>
          <xdr:cNvSpPr>
            <a:spLocks noChangeArrowheads="1"/>
          </xdr:cNvSpPr>
        </xdr:nvSpPr>
        <xdr:spPr bwMode="auto">
          <a:xfrm>
            <a:off x="613" y="683"/>
            <a:ext cx="17" cy="12"/>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69" name="Oval 761"/>
          <xdr:cNvSpPr>
            <a:spLocks noChangeArrowheads="1"/>
          </xdr:cNvSpPr>
        </xdr:nvSpPr>
        <xdr:spPr bwMode="auto">
          <a:xfrm>
            <a:off x="384" y="558"/>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70" name="Line 701"/>
          <xdr:cNvSpPr>
            <a:spLocks noChangeShapeType="1"/>
          </xdr:cNvSpPr>
        </xdr:nvSpPr>
        <xdr:spPr bwMode="auto">
          <a:xfrm flipV="1">
            <a:off x="622" y="473"/>
            <a:ext cx="0" cy="223"/>
          </a:xfrm>
          <a:prstGeom prst="line">
            <a:avLst/>
          </a:prstGeom>
          <a:noFill/>
          <a:ln w="3175">
            <a:solidFill>
              <a:srgbClr xmlns:mc="http://schemas.openxmlformats.org/markup-compatibility/2006" xmlns:a14="http://schemas.microsoft.com/office/drawing/2010/main" val="969696" mc:Ignorable="a14" a14:legacySpreadsheetColorIndex="55"/>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171" name="Oval 764"/>
          <xdr:cNvSpPr>
            <a:spLocks noChangeArrowheads="1"/>
          </xdr:cNvSpPr>
        </xdr:nvSpPr>
        <xdr:spPr bwMode="auto">
          <a:xfrm>
            <a:off x="466" y="611"/>
            <a:ext cx="7"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72" name="Oval 765"/>
          <xdr:cNvSpPr>
            <a:spLocks noChangeArrowheads="1"/>
          </xdr:cNvSpPr>
        </xdr:nvSpPr>
        <xdr:spPr bwMode="auto">
          <a:xfrm>
            <a:off x="338" y="694"/>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73" name="Oval 767"/>
          <xdr:cNvSpPr>
            <a:spLocks noChangeArrowheads="1"/>
          </xdr:cNvSpPr>
        </xdr:nvSpPr>
        <xdr:spPr bwMode="auto">
          <a:xfrm>
            <a:off x="413" y="469"/>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74" name="Oval 768"/>
          <xdr:cNvSpPr>
            <a:spLocks noChangeArrowheads="1"/>
          </xdr:cNvSpPr>
        </xdr:nvSpPr>
        <xdr:spPr bwMode="auto">
          <a:xfrm>
            <a:off x="518" y="471"/>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75" name="Line 769"/>
          <xdr:cNvSpPr>
            <a:spLocks noChangeShapeType="1"/>
          </xdr:cNvSpPr>
        </xdr:nvSpPr>
        <xdr:spPr bwMode="auto">
          <a:xfrm rot="5400000">
            <a:off x="464" y="466"/>
            <a:ext cx="9" cy="0"/>
          </a:xfrm>
          <a:prstGeom prst="line">
            <a:avLst/>
          </a:prstGeom>
          <a:noFill/>
          <a:ln w="952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sp macro="" textlink="">
        <xdr:nvSpPr>
          <xdr:cNvPr id="176" name="Oval 770"/>
          <xdr:cNvSpPr>
            <a:spLocks noChangeArrowheads="1"/>
          </xdr:cNvSpPr>
        </xdr:nvSpPr>
        <xdr:spPr bwMode="auto">
          <a:xfrm>
            <a:off x="466" y="504"/>
            <a:ext cx="7"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77" name="Oval 881"/>
          <xdr:cNvSpPr>
            <a:spLocks noChangeArrowheads="1"/>
          </xdr:cNvSpPr>
        </xdr:nvSpPr>
        <xdr:spPr bwMode="auto">
          <a:xfrm>
            <a:off x="593" y="694"/>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grpSp>
    <xdr:clientData/>
  </xdr:twoCellAnchor>
  <xdr:oneCellAnchor>
    <xdr:from>
      <xdr:col>10</xdr:col>
      <xdr:colOff>472440</xdr:colOff>
      <xdr:row>55</xdr:row>
      <xdr:rowOff>121920</xdr:rowOff>
    </xdr:from>
    <xdr:ext cx="3467100" cy="5463540"/>
    <xdr:grpSp>
      <xdr:nvGrpSpPr>
        <xdr:cNvPr id="186" name="Group 929"/>
        <xdr:cNvGrpSpPr>
          <a:grpSpLocks/>
        </xdr:cNvGrpSpPr>
      </xdr:nvGrpSpPr>
      <xdr:grpSpPr bwMode="auto">
        <a:xfrm>
          <a:off x="8181340" y="9443720"/>
          <a:ext cx="3467100" cy="5463540"/>
          <a:chOff x="804" y="1000"/>
          <a:chExt cx="353" cy="570"/>
        </a:xfrm>
      </xdr:grpSpPr>
      <xdr:sp macro="" textlink="">
        <xdr:nvSpPr>
          <xdr:cNvPr id="187" name="Text Box 301"/>
          <xdr:cNvSpPr txBox="1">
            <a:spLocks noChangeArrowheads="1"/>
          </xdr:cNvSpPr>
        </xdr:nvSpPr>
        <xdr:spPr bwMode="auto">
          <a:xfrm>
            <a:off x="836" y="1350"/>
            <a:ext cx="282" cy="6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0" i="0" u="none" strike="noStrike" baseline="0">
                <a:solidFill>
                  <a:srgbClr val="000000"/>
                </a:solidFill>
                <a:latin typeface="Arial"/>
                <a:cs typeface="Arial"/>
              </a:rPr>
              <a:t>     Xg3             cos -α    sin -α            f</a:t>
            </a:r>
          </a:p>
          <a:p>
            <a:pPr algn="l" rtl="0">
              <a:defRPr sz="1000"/>
            </a:pPr>
            <a:r>
              <a:rPr lang="fr-FR" sz="1000" b="0" i="0" u="none" strike="noStrike" baseline="0">
                <a:solidFill>
                  <a:srgbClr val="000000"/>
                </a:solidFill>
                <a:latin typeface="Arial"/>
                <a:cs typeface="Arial"/>
              </a:rPr>
              <a:t>               =</a:t>
            </a:r>
          </a:p>
          <a:p>
            <a:pPr algn="l" rtl="0">
              <a:defRPr sz="1000"/>
            </a:pPr>
            <a:r>
              <a:rPr lang="fr-FR" sz="1000" b="0" i="0" u="none" strike="noStrike" baseline="0">
                <a:solidFill>
                  <a:srgbClr val="000000"/>
                </a:solidFill>
                <a:latin typeface="Arial"/>
                <a:cs typeface="Arial"/>
              </a:rPr>
              <a:t>     Yg3            - sin -α   cos -α           g </a:t>
            </a:r>
            <a:endParaRPr lang="fr-FR"/>
          </a:p>
        </xdr:txBody>
      </xdr:sp>
      <xdr:sp macro="" textlink="">
        <xdr:nvSpPr>
          <xdr:cNvPr id="188" name="AutoShape 302"/>
          <xdr:cNvSpPr>
            <a:spLocks noChangeArrowheads="1"/>
          </xdr:cNvSpPr>
        </xdr:nvSpPr>
        <xdr:spPr bwMode="auto">
          <a:xfrm>
            <a:off x="1043" y="1350"/>
            <a:ext cx="31" cy="56"/>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89" name="AutoShape 304"/>
          <xdr:cNvSpPr>
            <a:spLocks noChangeArrowheads="1"/>
          </xdr:cNvSpPr>
        </xdr:nvSpPr>
        <xdr:spPr bwMode="auto">
          <a:xfrm>
            <a:off x="918" y="1350"/>
            <a:ext cx="111" cy="56"/>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90" name="AutoShape 305"/>
          <xdr:cNvSpPr>
            <a:spLocks noChangeArrowheads="1"/>
          </xdr:cNvSpPr>
        </xdr:nvSpPr>
        <xdr:spPr bwMode="auto">
          <a:xfrm>
            <a:off x="848" y="1350"/>
            <a:ext cx="38" cy="56"/>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91" name="Text Box 211"/>
          <xdr:cNvSpPr txBox="1">
            <a:spLocks noChangeArrowheads="1"/>
          </xdr:cNvSpPr>
        </xdr:nvSpPr>
        <xdr:spPr bwMode="auto">
          <a:xfrm>
            <a:off x="804" y="1000"/>
            <a:ext cx="353" cy="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0" i="0" u="none" strike="noStrike" baseline="0">
                <a:solidFill>
                  <a:srgbClr val="000000"/>
                </a:solidFill>
                <a:latin typeface="Arial"/>
                <a:cs typeface="Arial"/>
              </a:rPr>
              <a:t>     Xh               cos α    sin α            a              Xs </a:t>
            </a:r>
          </a:p>
          <a:p>
            <a:pPr algn="l" rtl="0">
              <a:defRPr sz="1000"/>
            </a:pPr>
            <a:r>
              <a:rPr lang="fr-FR" sz="1000" b="0" i="0" u="none" strike="noStrike" baseline="0">
                <a:solidFill>
                  <a:srgbClr val="000000"/>
                </a:solidFill>
                <a:latin typeface="Arial"/>
                <a:cs typeface="Arial"/>
              </a:rPr>
              <a:t>              =                                                +</a:t>
            </a:r>
          </a:p>
          <a:p>
            <a:pPr algn="l" rtl="0">
              <a:defRPr sz="1000"/>
            </a:pPr>
            <a:r>
              <a:rPr lang="fr-FR" sz="1000" b="0" i="0" u="none" strike="noStrike" baseline="0">
                <a:solidFill>
                  <a:srgbClr val="000000"/>
                </a:solidFill>
                <a:latin typeface="Arial"/>
                <a:cs typeface="Arial"/>
              </a:rPr>
              <a:t>     Yh             - sin α    cos α            b             Ys</a:t>
            </a:r>
            <a:endParaRPr lang="fr-FR"/>
          </a:p>
        </xdr:txBody>
      </xdr:sp>
      <xdr:sp macro="" textlink="">
        <xdr:nvSpPr>
          <xdr:cNvPr id="192" name="AutoShape 213"/>
          <xdr:cNvSpPr>
            <a:spLocks noChangeArrowheads="1"/>
          </xdr:cNvSpPr>
        </xdr:nvSpPr>
        <xdr:spPr bwMode="auto">
          <a:xfrm>
            <a:off x="1006" y="1000"/>
            <a:ext cx="31"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93" name="AutoShape 214"/>
          <xdr:cNvSpPr>
            <a:spLocks noChangeArrowheads="1"/>
          </xdr:cNvSpPr>
        </xdr:nvSpPr>
        <xdr:spPr bwMode="auto">
          <a:xfrm>
            <a:off x="1068" y="1000"/>
            <a:ext cx="38"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94" name="AutoShape 297"/>
          <xdr:cNvSpPr>
            <a:spLocks noChangeArrowheads="1"/>
          </xdr:cNvSpPr>
        </xdr:nvSpPr>
        <xdr:spPr bwMode="auto">
          <a:xfrm>
            <a:off x="883" y="1000"/>
            <a:ext cx="111"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95" name="AutoShape 298"/>
          <xdr:cNvSpPr>
            <a:spLocks noChangeArrowheads="1"/>
          </xdr:cNvSpPr>
        </xdr:nvSpPr>
        <xdr:spPr bwMode="auto">
          <a:xfrm>
            <a:off x="815" y="1000"/>
            <a:ext cx="39"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96" name="Text Box 307"/>
          <xdr:cNvSpPr txBox="1">
            <a:spLocks noChangeArrowheads="1"/>
          </xdr:cNvSpPr>
        </xdr:nvSpPr>
        <xdr:spPr bwMode="auto">
          <a:xfrm>
            <a:off x="804" y="1077"/>
            <a:ext cx="353" cy="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0" i="0" u="none" strike="noStrike" baseline="0">
                <a:solidFill>
                  <a:srgbClr val="000000"/>
                </a:solidFill>
                <a:latin typeface="Arial"/>
                <a:cs typeface="Arial"/>
              </a:rPr>
              <a:t>    Xg4              cos α    sin α            d              Xs </a:t>
            </a:r>
          </a:p>
          <a:p>
            <a:pPr algn="l" rtl="0">
              <a:defRPr sz="1000"/>
            </a:pPr>
            <a:r>
              <a:rPr lang="fr-FR" sz="1000" b="0" i="0" u="none" strike="noStrike" baseline="0">
                <a:solidFill>
                  <a:srgbClr val="000000"/>
                </a:solidFill>
                <a:latin typeface="Arial"/>
                <a:cs typeface="Arial"/>
              </a:rPr>
              <a:t>               =                                               +</a:t>
            </a:r>
          </a:p>
          <a:p>
            <a:pPr algn="l" rtl="0">
              <a:defRPr sz="1000"/>
            </a:pPr>
            <a:r>
              <a:rPr lang="fr-FR" sz="1000" b="0" i="0" u="none" strike="noStrike" baseline="0">
                <a:solidFill>
                  <a:srgbClr val="000000"/>
                </a:solidFill>
                <a:latin typeface="Arial"/>
                <a:cs typeface="Arial"/>
              </a:rPr>
              <a:t>    Yg4            - sin α    cos α            e             Ys</a:t>
            </a:r>
            <a:endParaRPr lang="fr-FR"/>
          </a:p>
        </xdr:txBody>
      </xdr:sp>
      <xdr:sp macro="" textlink="">
        <xdr:nvSpPr>
          <xdr:cNvPr id="197" name="AutoShape 308"/>
          <xdr:cNvSpPr>
            <a:spLocks noChangeArrowheads="1"/>
          </xdr:cNvSpPr>
        </xdr:nvSpPr>
        <xdr:spPr bwMode="auto">
          <a:xfrm>
            <a:off x="1006" y="1077"/>
            <a:ext cx="31"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98" name="AutoShape 309"/>
          <xdr:cNvSpPr>
            <a:spLocks noChangeArrowheads="1"/>
          </xdr:cNvSpPr>
        </xdr:nvSpPr>
        <xdr:spPr bwMode="auto">
          <a:xfrm>
            <a:off x="1068" y="1077"/>
            <a:ext cx="38"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99" name="AutoShape 310"/>
          <xdr:cNvSpPr>
            <a:spLocks noChangeArrowheads="1"/>
          </xdr:cNvSpPr>
        </xdr:nvSpPr>
        <xdr:spPr bwMode="auto">
          <a:xfrm>
            <a:off x="883" y="1077"/>
            <a:ext cx="111"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200" name="AutoShape 311"/>
          <xdr:cNvSpPr>
            <a:spLocks noChangeArrowheads="1"/>
          </xdr:cNvSpPr>
        </xdr:nvSpPr>
        <xdr:spPr bwMode="auto">
          <a:xfrm>
            <a:off x="815" y="1077"/>
            <a:ext cx="39"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201" name="Text Box 888"/>
          <xdr:cNvSpPr txBox="1">
            <a:spLocks noChangeArrowheads="1"/>
          </xdr:cNvSpPr>
        </xdr:nvSpPr>
        <xdr:spPr bwMode="auto">
          <a:xfrm>
            <a:off x="804" y="1209"/>
            <a:ext cx="353" cy="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0" i="0" u="none" strike="noStrike" baseline="0">
                <a:solidFill>
                  <a:srgbClr val="000000"/>
                </a:solidFill>
                <a:latin typeface="Arial"/>
                <a:cs typeface="Arial"/>
              </a:rPr>
              <a:t>    Xg2              cos α    sin α            h              Xe </a:t>
            </a:r>
          </a:p>
          <a:p>
            <a:pPr algn="l" rtl="0">
              <a:defRPr sz="1000"/>
            </a:pPr>
            <a:r>
              <a:rPr lang="fr-FR" sz="1000" b="0" i="0" u="none" strike="noStrike" baseline="0">
                <a:solidFill>
                  <a:srgbClr val="000000"/>
                </a:solidFill>
                <a:latin typeface="Arial"/>
                <a:cs typeface="Arial"/>
              </a:rPr>
              <a:t>               =                                               +</a:t>
            </a:r>
          </a:p>
          <a:p>
            <a:pPr algn="l" rtl="0">
              <a:defRPr sz="1000"/>
            </a:pPr>
            <a:r>
              <a:rPr lang="fr-FR" sz="1000" b="0" i="0" u="none" strike="noStrike" baseline="0">
                <a:solidFill>
                  <a:srgbClr val="000000"/>
                </a:solidFill>
                <a:latin typeface="Arial"/>
                <a:cs typeface="Arial"/>
              </a:rPr>
              <a:t>    Yg2            - sin α    cos α            i              Ye</a:t>
            </a:r>
            <a:endParaRPr lang="fr-FR"/>
          </a:p>
        </xdr:txBody>
      </xdr:sp>
      <xdr:sp macro="" textlink="">
        <xdr:nvSpPr>
          <xdr:cNvPr id="202" name="AutoShape 889"/>
          <xdr:cNvSpPr>
            <a:spLocks noChangeArrowheads="1"/>
          </xdr:cNvSpPr>
        </xdr:nvSpPr>
        <xdr:spPr bwMode="auto">
          <a:xfrm>
            <a:off x="1006" y="1209"/>
            <a:ext cx="31"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203" name="AutoShape 890"/>
          <xdr:cNvSpPr>
            <a:spLocks noChangeArrowheads="1"/>
          </xdr:cNvSpPr>
        </xdr:nvSpPr>
        <xdr:spPr bwMode="auto">
          <a:xfrm>
            <a:off x="1068" y="1209"/>
            <a:ext cx="38"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204" name="AutoShape 891"/>
          <xdr:cNvSpPr>
            <a:spLocks noChangeArrowheads="1"/>
          </xdr:cNvSpPr>
        </xdr:nvSpPr>
        <xdr:spPr bwMode="auto">
          <a:xfrm>
            <a:off x="883" y="1209"/>
            <a:ext cx="111"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205" name="AutoShape 892"/>
          <xdr:cNvSpPr>
            <a:spLocks noChangeArrowheads="1"/>
          </xdr:cNvSpPr>
        </xdr:nvSpPr>
        <xdr:spPr bwMode="auto">
          <a:xfrm>
            <a:off x="815" y="1209"/>
            <a:ext cx="39"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206" name="Text Box 898"/>
          <xdr:cNvSpPr txBox="1">
            <a:spLocks noChangeArrowheads="1"/>
          </xdr:cNvSpPr>
        </xdr:nvSpPr>
        <xdr:spPr bwMode="auto">
          <a:xfrm>
            <a:off x="804" y="1486"/>
            <a:ext cx="353" cy="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0" i="0" u="none" strike="noStrike" baseline="0">
                <a:solidFill>
                  <a:srgbClr val="000000"/>
                </a:solidFill>
                <a:latin typeface="Arial"/>
                <a:cs typeface="Arial"/>
              </a:rPr>
              <a:t>    Xg1             cos -α    sin -α            j              Xs </a:t>
            </a:r>
          </a:p>
          <a:p>
            <a:pPr algn="l" rtl="0">
              <a:defRPr sz="1000"/>
            </a:pPr>
            <a:r>
              <a:rPr lang="fr-FR" sz="1000" b="0" i="0" u="none" strike="noStrike" baseline="0">
                <a:solidFill>
                  <a:srgbClr val="000000"/>
                </a:solidFill>
                <a:latin typeface="Arial"/>
                <a:cs typeface="Arial"/>
              </a:rPr>
              <a:t>               =                                               +</a:t>
            </a:r>
          </a:p>
          <a:p>
            <a:pPr algn="l" rtl="0">
              <a:defRPr sz="1000"/>
            </a:pPr>
            <a:r>
              <a:rPr lang="fr-FR" sz="1000" b="0" i="0" u="none" strike="noStrike" baseline="0">
                <a:solidFill>
                  <a:srgbClr val="000000"/>
                </a:solidFill>
                <a:latin typeface="Arial"/>
                <a:cs typeface="Arial"/>
              </a:rPr>
              <a:t>    Yg1           - sin -α    cos -α           k             Ys</a:t>
            </a:r>
            <a:endParaRPr lang="fr-FR"/>
          </a:p>
        </xdr:txBody>
      </xdr:sp>
      <xdr:sp macro="" textlink="">
        <xdr:nvSpPr>
          <xdr:cNvPr id="207" name="AutoShape 899"/>
          <xdr:cNvSpPr>
            <a:spLocks noChangeArrowheads="1"/>
          </xdr:cNvSpPr>
        </xdr:nvSpPr>
        <xdr:spPr bwMode="auto">
          <a:xfrm>
            <a:off x="1006" y="1486"/>
            <a:ext cx="31"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208" name="AutoShape 900"/>
          <xdr:cNvSpPr>
            <a:spLocks noChangeArrowheads="1"/>
          </xdr:cNvSpPr>
        </xdr:nvSpPr>
        <xdr:spPr bwMode="auto">
          <a:xfrm>
            <a:off x="1068" y="1486"/>
            <a:ext cx="38"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209" name="AutoShape 901"/>
          <xdr:cNvSpPr>
            <a:spLocks noChangeArrowheads="1"/>
          </xdr:cNvSpPr>
        </xdr:nvSpPr>
        <xdr:spPr bwMode="auto">
          <a:xfrm>
            <a:off x="883" y="1486"/>
            <a:ext cx="111"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210" name="AutoShape 902"/>
          <xdr:cNvSpPr>
            <a:spLocks noChangeArrowheads="1"/>
          </xdr:cNvSpPr>
        </xdr:nvSpPr>
        <xdr:spPr bwMode="auto">
          <a:xfrm>
            <a:off x="815" y="1486"/>
            <a:ext cx="39"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oneCellAnchor>
  <xdr:twoCellAnchor>
    <xdr:from>
      <xdr:col>10</xdr:col>
      <xdr:colOff>236220</xdr:colOff>
      <xdr:row>25</xdr:row>
      <xdr:rowOff>30480</xdr:rowOff>
    </xdr:from>
    <xdr:to>
      <xdr:col>14</xdr:col>
      <xdr:colOff>38100</xdr:colOff>
      <xdr:row>39</xdr:row>
      <xdr:rowOff>121920</xdr:rowOff>
    </xdr:to>
    <xdr:grpSp>
      <xdr:nvGrpSpPr>
        <xdr:cNvPr id="211" name="Group 907"/>
        <xdr:cNvGrpSpPr>
          <a:grpSpLocks/>
        </xdr:cNvGrpSpPr>
      </xdr:nvGrpSpPr>
      <xdr:grpSpPr bwMode="auto">
        <a:xfrm>
          <a:off x="7945120" y="4310380"/>
          <a:ext cx="3141980" cy="2402840"/>
          <a:chOff x="720" y="375"/>
          <a:chExt cx="313" cy="247"/>
        </a:xfrm>
      </xdr:grpSpPr>
      <xdr:sp macro="" textlink="">
        <xdr:nvSpPr>
          <xdr:cNvPr id="212" name="Line 772"/>
          <xdr:cNvSpPr>
            <a:spLocks noChangeShapeType="1"/>
          </xdr:cNvSpPr>
        </xdr:nvSpPr>
        <xdr:spPr bwMode="auto">
          <a:xfrm>
            <a:off x="817" y="416"/>
            <a:ext cx="110" cy="72"/>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13" name="Line 773"/>
          <xdr:cNvSpPr>
            <a:spLocks noChangeShapeType="1"/>
          </xdr:cNvSpPr>
        </xdr:nvSpPr>
        <xdr:spPr bwMode="auto">
          <a:xfrm flipV="1">
            <a:off x="790" y="417"/>
            <a:ext cx="109" cy="7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14" name="Line 775"/>
          <xdr:cNvSpPr>
            <a:spLocks noChangeShapeType="1"/>
          </xdr:cNvSpPr>
        </xdr:nvSpPr>
        <xdr:spPr bwMode="auto">
          <a:xfrm flipV="1">
            <a:off x="750" y="440"/>
            <a:ext cx="0" cy="182"/>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215" name="Line 776"/>
          <xdr:cNvSpPr>
            <a:spLocks noChangeShapeType="1"/>
          </xdr:cNvSpPr>
        </xdr:nvSpPr>
        <xdr:spPr bwMode="auto">
          <a:xfrm rot="5400000" flipV="1">
            <a:off x="866" y="458"/>
            <a:ext cx="0" cy="291"/>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216" name="Text Box 777"/>
          <xdr:cNvSpPr txBox="1">
            <a:spLocks noChangeArrowheads="1"/>
          </xdr:cNvSpPr>
        </xdr:nvSpPr>
        <xdr:spPr bwMode="auto">
          <a:xfrm>
            <a:off x="725" y="586"/>
            <a:ext cx="21"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A</a:t>
            </a:r>
            <a:endParaRPr lang="fr-FR"/>
          </a:p>
        </xdr:txBody>
      </xdr:sp>
      <xdr:sp macro="" textlink="">
        <xdr:nvSpPr>
          <xdr:cNvPr id="217" name="Text Box 778"/>
          <xdr:cNvSpPr txBox="1">
            <a:spLocks noChangeArrowheads="1"/>
          </xdr:cNvSpPr>
        </xdr:nvSpPr>
        <xdr:spPr bwMode="auto">
          <a:xfrm>
            <a:off x="930" y="470"/>
            <a:ext cx="27"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R</a:t>
            </a:r>
            <a:endParaRPr lang="fr-FR"/>
          </a:p>
        </xdr:txBody>
      </xdr:sp>
      <xdr:sp macro="" textlink="">
        <xdr:nvSpPr>
          <xdr:cNvPr id="218" name="Text Box 779"/>
          <xdr:cNvSpPr txBox="1">
            <a:spLocks noChangeArrowheads="1"/>
          </xdr:cNvSpPr>
        </xdr:nvSpPr>
        <xdr:spPr bwMode="auto">
          <a:xfrm>
            <a:off x="774" y="468"/>
            <a:ext cx="20"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S</a:t>
            </a:r>
            <a:endParaRPr lang="fr-FR"/>
          </a:p>
        </xdr:txBody>
      </xdr:sp>
      <xdr:sp macro="" textlink="">
        <xdr:nvSpPr>
          <xdr:cNvPr id="219" name="Text Box 780"/>
          <xdr:cNvSpPr txBox="1">
            <a:spLocks noChangeArrowheads="1"/>
          </xdr:cNvSpPr>
        </xdr:nvSpPr>
        <xdr:spPr bwMode="auto">
          <a:xfrm>
            <a:off x="1014" y="592"/>
            <a:ext cx="19"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x</a:t>
            </a:r>
            <a:endParaRPr lang="fr-FR"/>
          </a:p>
        </xdr:txBody>
      </xdr:sp>
      <xdr:sp macro="" textlink="">
        <xdr:nvSpPr>
          <xdr:cNvPr id="220" name="Text Box 781"/>
          <xdr:cNvSpPr txBox="1">
            <a:spLocks noChangeArrowheads="1"/>
          </xdr:cNvSpPr>
        </xdr:nvSpPr>
        <xdr:spPr bwMode="auto">
          <a:xfrm>
            <a:off x="741" y="417"/>
            <a:ext cx="27"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y</a:t>
            </a:r>
            <a:endParaRPr lang="fr-FR"/>
          </a:p>
        </xdr:txBody>
      </xdr:sp>
      <xdr:sp macro="" textlink="">
        <xdr:nvSpPr>
          <xdr:cNvPr id="221" name="Oval 782"/>
          <xdr:cNvSpPr>
            <a:spLocks noChangeArrowheads="1"/>
          </xdr:cNvSpPr>
        </xdr:nvSpPr>
        <xdr:spPr bwMode="auto">
          <a:xfrm>
            <a:off x="785" y="486"/>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22" name="Oval 783"/>
          <xdr:cNvSpPr>
            <a:spLocks noChangeArrowheads="1"/>
          </xdr:cNvSpPr>
        </xdr:nvSpPr>
        <xdr:spPr bwMode="auto">
          <a:xfrm>
            <a:off x="923" y="485"/>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23" name="Line 784"/>
          <xdr:cNvSpPr>
            <a:spLocks noChangeShapeType="1"/>
          </xdr:cNvSpPr>
        </xdr:nvSpPr>
        <xdr:spPr bwMode="auto">
          <a:xfrm>
            <a:off x="802" y="416"/>
            <a:ext cx="181" cy="0"/>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sp macro="" textlink="">
        <xdr:nvSpPr>
          <xdr:cNvPr id="224" name="Oval 785"/>
          <xdr:cNvSpPr>
            <a:spLocks noChangeArrowheads="1"/>
          </xdr:cNvSpPr>
        </xdr:nvSpPr>
        <xdr:spPr bwMode="auto">
          <a:xfrm>
            <a:off x="855" y="440"/>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25" name="Oval 786"/>
          <xdr:cNvSpPr>
            <a:spLocks noChangeArrowheads="1"/>
          </xdr:cNvSpPr>
        </xdr:nvSpPr>
        <xdr:spPr bwMode="auto">
          <a:xfrm>
            <a:off x="815" y="413"/>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26" name="Oval 787"/>
          <xdr:cNvSpPr>
            <a:spLocks noChangeArrowheads="1"/>
          </xdr:cNvSpPr>
        </xdr:nvSpPr>
        <xdr:spPr bwMode="auto">
          <a:xfrm>
            <a:off x="897" y="413"/>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27" name="Line 788"/>
          <xdr:cNvSpPr>
            <a:spLocks noChangeShapeType="1"/>
          </xdr:cNvSpPr>
        </xdr:nvSpPr>
        <xdr:spPr bwMode="auto">
          <a:xfrm>
            <a:off x="743" y="489"/>
            <a:ext cx="197" cy="0"/>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sp macro="" textlink="">
        <xdr:nvSpPr>
          <xdr:cNvPr id="228" name="Text Box 790"/>
          <xdr:cNvSpPr txBox="1">
            <a:spLocks noChangeArrowheads="1"/>
          </xdr:cNvSpPr>
        </xdr:nvSpPr>
        <xdr:spPr bwMode="auto">
          <a:xfrm>
            <a:off x="808" y="394"/>
            <a:ext cx="26"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E</a:t>
            </a:r>
            <a:endParaRPr lang="fr-FR"/>
          </a:p>
        </xdr:txBody>
      </xdr:sp>
      <xdr:sp macro="" textlink="">
        <xdr:nvSpPr>
          <xdr:cNvPr id="229" name="Text Box 791"/>
          <xdr:cNvSpPr txBox="1">
            <a:spLocks noChangeArrowheads="1"/>
          </xdr:cNvSpPr>
        </xdr:nvSpPr>
        <xdr:spPr bwMode="auto">
          <a:xfrm>
            <a:off x="890" y="394"/>
            <a:ext cx="20"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B</a:t>
            </a:r>
            <a:endParaRPr lang="fr-FR"/>
          </a:p>
        </xdr:txBody>
      </xdr:sp>
      <xdr:sp macro="" textlink="">
        <xdr:nvSpPr>
          <xdr:cNvPr id="230" name="Line 794"/>
          <xdr:cNvSpPr>
            <a:spLocks noChangeShapeType="1"/>
          </xdr:cNvSpPr>
        </xdr:nvSpPr>
        <xdr:spPr bwMode="auto">
          <a:xfrm rot="10800000">
            <a:off x="896" y="482"/>
            <a:ext cx="28" cy="6"/>
          </a:xfrm>
          <a:prstGeom prst="line">
            <a:avLst/>
          </a:prstGeom>
          <a:noFill/>
          <a:ln w="9525">
            <a:solidFill>
              <a:srgbClr xmlns:mc="http://schemas.openxmlformats.org/markup-compatibility/2006" xmlns:a14="http://schemas.microsoft.com/office/drawing/2010/main" val="3366FF" mc:Ignorable="a14" a14:legacySpreadsheetColorIndex="48"/>
            </a:solidFill>
            <a:round/>
            <a:headEnd/>
            <a:tailEnd type="triangle" w="sm" len="sm"/>
          </a:ln>
          <a:extLst>
            <a:ext uri="{909E8E84-426E-40DD-AFC4-6F175D3DCCD1}">
              <a14:hiddenFill xmlns:a14="http://schemas.microsoft.com/office/drawing/2010/main">
                <a:noFill/>
              </a14:hiddenFill>
            </a:ext>
          </a:extLst>
        </xdr:spPr>
      </xdr:sp>
      <xdr:sp macro="" textlink="">
        <xdr:nvSpPr>
          <xdr:cNvPr id="231" name="Line 795"/>
          <xdr:cNvSpPr>
            <a:spLocks noChangeShapeType="1"/>
          </xdr:cNvSpPr>
        </xdr:nvSpPr>
        <xdr:spPr bwMode="auto">
          <a:xfrm rot="10800000" flipH="1">
            <a:off x="788" y="484"/>
            <a:ext cx="26" cy="5"/>
          </a:xfrm>
          <a:prstGeom prst="line">
            <a:avLst/>
          </a:prstGeom>
          <a:noFill/>
          <a:ln w="9525">
            <a:solidFill>
              <a:srgbClr xmlns:mc="http://schemas.openxmlformats.org/markup-compatibility/2006" xmlns:a14="http://schemas.microsoft.com/office/drawing/2010/main" val="CC99FF" mc:Ignorable="a14" a14:legacySpreadsheetColorIndex="46"/>
            </a:solidFill>
            <a:round/>
            <a:headEnd/>
            <a:tailEnd type="triangle" w="sm" len="sm"/>
          </a:ln>
          <a:extLst>
            <a:ext uri="{909E8E84-426E-40DD-AFC4-6F175D3DCCD1}">
              <a14:hiddenFill xmlns:a14="http://schemas.microsoft.com/office/drawing/2010/main">
                <a:noFill/>
              </a14:hiddenFill>
            </a:ext>
          </a:extLst>
        </xdr:spPr>
      </xdr:sp>
      <xdr:sp macro="" textlink="">
        <xdr:nvSpPr>
          <xdr:cNvPr id="232" name="Text Box 796"/>
          <xdr:cNvSpPr txBox="1">
            <a:spLocks noChangeArrowheads="1"/>
          </xdr:cNvSpPr>
        </xdr:nvSpPr>
        <xdr:spPr bwMode="auto">
          <a:xfrm>
            <a:off x="791" y="488"/>
            <a:ext cx="31"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Rs</a:t>
            </a:r>
          </a:p>
          <a:p>
            <a:pPr algn="ctr" rtl="0">
              <a:defRPr sz="1000"/>
            </a:pPr>
            <a:endParaRPr lang="fr-FR"/>
          </a:p>
        </xdr:txBody>
      </xdr:sp>
      <xdr:sp macro="" textlink="">
        <xdr:nvSpPr>
          <xdr:cNvPr id="233" name="Text Box 797"/>
          <xdr:cNvSpPr txBox="1">
            <a:spLocks noChangeArrowheads="1"/>
          </xdr:cNvSpPr>
        </xdr:nvSpPr>
        <xdr:spPr bwMode="auto">
          <a:xfrm>
            <a:off x="888" y="488"/>
            <a:ext cx="31"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Rr</a:t>
            </a:r>
          </a:p>
          <a:p>
            <a:pPr algn="ctr" rtl="0">
              <a:defRPr sz="1000"/>
            </a:pPr>
            <a:endParaRPr lang="fr-FR"/>
          </a:p>
        </xdr:txBody>
      </xdr:sp>
      <xdr:grpSp>
        <xdr:nvGrpSpPr>
          <xdr:cNvPr id="234" name="Group 798"/>
          <xdr:cNvGrpSpPr>
            <a:grpSpLocks/>
          </xdr:cNvGrpSpPr>
        </xdr:nvGrpSpPr>
        <xdr:grpSpPr bwMode="auto">
          <a:xfrm>
            <a:off x="832" y="454"/>
            <a:ext cx="3" cy="17"/>
            <a:chOff x="840" y="490"/>
            <a:chExt cx="3" cy="17"/>
          </a:xfrm>
        </xdr:grpSpPr>
        <xdr:sp macro="" textlink="">
          <xdr:nvSpPr>
            <xdr:cNvPr id="252" name="Oval 799"/>
            <xdr:cNvSpPr>
              <a:spLocks noChangeArrowheads="1"/>
            </xdr:cNvSpPr>
          </xdr:nvSpPr>
          <xdr:spPr bwMode="auto">
            <a:xfrm>
              <a:off x="840" y="490"/>
              <a:ext cx="3" cy="3"/>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53" name="Line 800"/>
            <xdr:cNvSpPr>
              <a:spLocks noChangeShapeType="1"/>
            </xdr:cNvSpPr>
          </xdr:nvSpPr>
          <xdr:spPr bwMode="auto">
            <a:xfrm>
              <a:off x="841" y="490"/>
              <a:ext cx="0" cy="1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med"/>
            </a:ln>
            <a:extLst>
              <a:ext uri="{909E8E84-426E-40DD-AFC4-6F175D3DCCD1}">
                <a14:hiddenFill xmlns:a14="http://schemas.microsoft.com/office/drawing/2010/main">
                  <a:noFill/>
                </a14:hiddenFill>
              </a:ext>
            </a:extLst>
          </xdr:spPr>
        </xdr:sp>
      </xdr:grpSp>
      <xdr:grpSp>
        <xdr:nvGrpSpPr>
          <xdr:cNvPr id="235" name="Group 801"/>
          <xdr:cNvGrpSpPr>
            <a:grpSpLocks/>
          </xdr:cNvGrpSpPr>
        </xdr:nvGrpSpPr>
        <xdr:grpSpPr bwMode="auto">
          <a:xfrm>
            <a:off x="879" y="451"/>
            <a:ext cx="3" cy="17"/>
            <a:chOff x="840" y="490"/>
            <a:chExt cx="3" cy="17"/>
          </a:xfrm>
        </xdr:grpSpPr>
        <xdr:sp macro="" textlink="">
          <xdr:nvSpPr>
            <xdr:cNvPr id="250" name="Oval 802"/>
            <xdr:cNvSpPr>
              <a:spLocks noChangeArrowheads="1"/>
            </xdr:cNvSpPr>
          </xdr:nvSpPr>
          <xdr:spPr bwMode="auto">
            <a:xfrm>
              <a:off x="840" y="490"/>
              <a:ext cx="3" cy="3"/>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51" name="Line 803"/>
            <xdr:cNvSpPr>
              <a:spLocks noChangeShapeType="1"/>
            </xdr:cNvSpPr>
          </xdr:nvSpPr>
          <xdr:spPr bwMode="auto">
            <a:xfrm>
              <a:off x="841" y="490"/>
              <a:ext cx="0" cy="1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med"/>
            </a:ln>
            <a:extLst>
              <a:ext uri="{909E8E84-426E-40DD-AFC4-6F175D3DCCD1}">
                <a14:hiddenFill xmlns:a14="http://schemas.microsoft.com/office/drawing/2010/main">
                  <a:noFill/>
                </a14:hiddenFill>
              </a:ext>
            </a:extLst>
          </xdr:spPr>
        </xdr:sp>
      </xdr:grpSp>
      <xdr:sp macro="" textlink="">
        <xdr:nvSpPr>
          <xdr:cNvPr id="236" name="Text Box 804"/>
          <xdr:cNvSpPr txBox="1">
            <a:spLocks noChangeArrowheads="1"/>
          </xdr:cNvSpPr>
        </xdr:nvSpPr>
        <xdr:spPr bwMode="auto">
          <a:xfrm>
            <a:off x="824" y="470"/>
            <a:ext cx="31"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Pb1</a:t>
            </a:r>
            <a:endParaRPr lang="fr-FR"/>
          </a:p>
        </xdr:txBody>
      </xdr:sp>
      <xdr:sp macro="" textlink="">
        <xdr:nvSpPr>
          <xdr:cNvPr id="237" name="Text Box 805"/>
          <xdr:cNvSpPr txBox="1">
            <a:spLocks noChangeArrowheads="1"/>
          </xdr:cNvSpPr>
        </xdr:nvSpPr>
        <xdr:spPr bwMode="auto">
          <a:xfrm>
            <a:off x="858" y="470"/>
            <a:ext cx="35"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Pb2</a:t>
            </a:r>
            <a:endParaRPr lang="fr-FR"/>
          </a:p>
        </xdr:txBody>
      </xdr:sp>
      <xdr:sp macro="" textlink="">
        <xdr:nvSpPr>
          <xdr:cNvPr id="238" name="Line 809"/>
          <xdr:cNvSpPr>
            <a:spLocks noChangeShapeType="1"/>
          </xdr:cNvSpPr>
        </xdr:nvSpPr>
        <xdr:spPr bwMode="auto">
          <a:xfrm rot="10800000" flipV="1">
            <a:off x="805" y="416"/>
            <a:ext cx="13" cy="2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sm"/>
          </a:ln>
          <a:extLst>
            <a:ext uri="{909E8E84-426E-40DD-AFC4-6F175D3DCCD1}">
              <a14:hiddenFill xmlns:a14="http://schemas.microsoft.com/office/drawing/2010/main">
                <a:noFill/>
              </a14:hiddenFill>
            </a:ext>
          </a:extLst>
        </xdr:spPr>
      </xdr:sp>
      <xdr:sp macro="" textlink="">
        <xdr:nvSpPr>
          <xdr:cNvPr id="239" name="Line 810"/>
          <xdr:cNvSpPr>
            <a:spLocks noChangeShapeType="1"/>
          </xdr:cNvSpPr>
        </xdr:nvSpPr>
        <xdr:spPr bwMode="auto">
          <a:xfrm rot="10800000" flipH="1" flipV="1">
            <a:off x="900" y="416"/>
            <a:ext cx="12" cy="2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sm"/>
          </a:ln>
          <a:extLst>
            <a:ext uri="{909E8E84-426E-40DD-AFC4-6F175D3DCCD1}">
              <a14:hiddenFill xmlns:a14="http://schemas.microsoft.com/office/drawing/2010/main">
                <a:noFill/>
              </a14:hiddenFill>
            </a:ext>
          </a:extLst>
        </xdr:spPr>
      </xdr:sp>
      <xdr:sp macro="" textlink="">
        <xdr:nvSpPr>
          <xdr:cNvPr id="240" name="Text Box 811"/>
          <xdr:cNvSpPr txBox="1">
            <a:spLocks noChangeArrowheads="1"/>
          </xdr:cNvSpPr>
        </xdr:nvSpPr>
        <xdr:spPr bwMode="auto">
          <a:xfrm>
            <a:off x="791" y="437"/>
            <a:ext cx="31"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Fe</a:t>
            </a:r>
          </a:p>
          <a:p>
            <a:pPr algn="ctr" rtl="0">
              <a:defRPr sz="1000"/>
            </a:pPr>
            <a:endParaRPr lang="fr-FR"/>
          </a:p>
        </xdr:txBody>
      </xdr:sp>
      <xdr:sp macro="" textlink="">
        <xdr:nvSpPr>
          <xdr:cNvPr id="241" name="Text Box 812"/>
          <xdr:cNvSpPr txBox="1">
            <a:spLocks noChangeArrowheads="1"/>
          </xdr:cNvSpPr>
        </xdr:nvSpPr>
        <xdr:spPr bwMode="auto">
          <a:xfrm>
            <a:off x="888" y="437"/>
            <a:ext cx="31"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Fb</a:t>
            </a:r>
          </a:p>
          <a:p>
            <a:pPr algn="ctr" rtl="0">
              <a:defRPr sz="1000"/>
            </a:pPr>
            <a:endParaRPr lang="fr-FR"/>
          </a:p>
        </xdr:txBody>
      </xdr:sp>
      <xdr:sp macro="" textlink="">
        <xdr:nvSpPr>
          <xdr:cNvPr id="242" name="Line 813"/>
          <xdr:cNvSpPr>
            <a:spLocks noChangeShapeType="1"/>
          </xdr:cNvSpPr>
        </xdr:nvSpPr>
        <xdr:spPr bwMode="auto">
          <a:xfrm flipV="1">
            <a:off x="748" y="487"/>
            <a:ext cx="180" cy="117"/>
          </a:xfrm>
          <a:prstGeom prst="line">
            <a:avLst/>
          </a:prstGeom>
          <a:noFill/>
          <a:ln w="3175">
            <a:solidFill>
              <a:srgbClr xmlns:mc="http://schemas.openxmlformats.org/markup-compatibility/2006" xmlns:a14="http://schemas.microsoft.com/office/drawing/2010/main" val="969696" mc:Ignorable="a14" a14:legacySpreadsheetColorIndex="55"/>
            </a:solidFill>
            <a:prstDash val="dashDot"/>
            <a:round/>
            <a:headEnd/>
            <a:tailEnd/>
          </a:ln>
          <a:extLst>
            <a:ext uri="{909E8E84-426E-40DD-AFC4-6F175D3DCCD1}">
              <a14:hiddenFill xmlns:a14="http://schemas.microsoft.com/office/drawing/2010/main">
                <a:noFill/>
              </a14:hiddenFill>
            </a:ext>
          </a:extLst>
        </xdr:spPr>
      </xdr:sp>
      <xdr:sp macro="" textlink="">
        <xdr:nvSpPr>
          <xdr:cNvPr id="243" name="Line 814"/>
          <xdr:cNvSpPr>
            <a:spLocks noChangeShapeType="1"/>
          </xdr:cNvSpPr>
        </xdr:nvSpPr>
        <xdr:spPr bwMode="auto">
          <a:xfrm>
            <a:off x="787" y="488"/>
            <a:ext cx="181" cy="117"/>
          </a:xfrm>
          <a:prstGeom prst="line">
            <a:avLst/>
          </a:prstGeom>
          <a:noFill/>
          <a:ln w="3175">
            <a:solidFill>
              <a:srgbClr xmlns:mc="http://schemas.openxmlformats.org/markup-compatibility/2006" xmlns:a14="http://schemas.microsoft.com/office/drawing/2010/main" val="969696" mc:Ignorable="a14" a14:legacySpreadsheetColorIndex="55"/>
            </a:solidFill>
            <a:prstDash val="dashDot"/>
            <a:round/>
            <a:headEnd/>
            <a:tailEnd/>
          </a:ln>
          <a:extLst>
            <a:ext uri="{909E8E84-426E-40DD-AFC4-6F175D3DCCD1}">
              <a14:hiddenFill xmlns:a14="http://schemas.microsoft.com/office/drawing/2010/main">
                <a:noFill/>
              </a14:hiddenFill>
            </a:ext>
          </a:extLst>
        </xdr:spPr>
      </xdr:sp>
      <xdr:sp macro="" textlink="">
        <xdr:nvSpPr>
          <xdr:cNvPr id="244" name="Text Box 815"/>
          <xdr:cNvSpPr txBox="1">
            <a:spLocks noChangeArrowheads="1"/>
          </xdr:cNvSpPr>
        </xdr:nvSpPr>
        <xdr:spPr bwMode="auto">
          <a:xfrm>
            <a:off x="957" y="582"/>
            <a:ext cx="21"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C</a:t>
            </a:r>
            <a:endParaRPr lang="fr-FR"/>
          </a:p>
        </xdr:txBody>
      </xdr:sp>
      <xdr:sp macro="" textlink="">
        <xdr:nvSpPr>
          <xdr:cNvPr id="245" name="Text Box 816"/>
          <xdr:cNvSpPr txBox="1">
            <a:spLocks noChangeArrowheads="1"/>
          </xdr:cNvSpPr>
        </xdr:nvSpPr>
        <xdr:spPr bwMode="auto">
          <a:xfrm>
            <a:off x="846" y="534"/>
            <a:ext cx="23"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D</a:t>
            </a:r>
            <a:endParaRPr lang="fr-FR"/>
          </a:p>
        </xdr:txBody>
      </xdr:sp>
      <xdr:sp macro="" textlink="">
        <xdr:nvSpPr>
          <xdr:cNvPr id="246" name="Text Box 819"/>
          <xdr:cNvSpPr txBox="1">
            <a:spLocks noChangeArrowheads="1"/>
          </xdr:cNvSpPr>
        </xdr:nvSpPr>
        <xdr:spPr bwMode="auto">
          <a:xfrm>
            <a:off x="846" y="420"/>
            <a:ext cx="23"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T</a:t>
            </a:r>
            <a:endParaRPr lang="fr-FR"/>
          </a:p>
        </xdr:txBody>
      </xdr:sp>
      <xdr:sp macro="" textlink="">
        <xdr:nvSpPr>
          <xdr:cNvPr id="247" name="Line 903"/>
          <xdr:cNvSpPr>
            <a:spLocks noChangeShapeType="1"/>
          </xdr:cNvSpPr>
        </xdr:nvSpPr>
        <xdr:spPr bwMode="auto">
          <a:xfrm flipV="1">
            <a:off x="896" y="375"/>
            <a:ext cx="68" cy="44"/>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sp macro="" textlink="">
        <xdr:nvSpPr>
          <xdr:cNvPr id="248" name="Arc 904"/>
          <xdr:cNvSpPr>
            <a:spLocks/>
          </xdr:cNvSpPr>
        </xdr:nvSpPr>
        <xdr:spPr bwMode="auto">
          <a:xfrm flipV="1">
            <a:off x="900" y="377"/>
            <a:ext cx="72" cy="38"/>
          </a:xfrm>
          <a:custGeom>
            <a:avLst/>
            <a:gdLst>
              <a:gd name="T0" fmla="*/ 0 w 21600"/>
              <a:gd name="T1" fmla="*/ 0 h 11783"/>
              <a:gd name="T2" fmla="*/ 0 w 21600"/>
              <a:gd name="T3" fmla="*/ 0 h 11783"/>
              <a:gd name="T4" fmla="*/ 0 w 21600"/>
              <a:gd name="T5" fmla="*/ 0 h 11783"/>
              <a:gd name="T6" fmla="*/ 0 60000 65536"/>
              <a:gd name="T7" fmla="*/ 0 60000 65536"/>
              <a:gd name="T8" fmla="*/ 0 60000 65536"/>
            </a:gdLst>
            <a:ahLst/>
            <a:cxnLst>
              <a:cxn ang="T6">
                <a:pos x="T0" y="T1"/>
              </a:cxn>
              <a:cxn ang="T7">
                <a:pos x="T2" y="T3"/>
              </a:cxn>
              <a:cxn ang="T8">
                <a:pos x="T4" y="T5"/>
              </a:cxn>
            </a:cxnLst>
            <a:rect l="0" t="0" r="r" b="b"/>
            <a:pathLst>
              <a:path w="21600" h="11783" fill="none" extrusionOk="0">
                <a:moveTo>
                  <a:pt x="21599" y="42"/>
                </a:moveTo>
                <a:cubicBezTo>
                  <a:pt x="21591" y="4211"/>
                  <a:pt x="20377" y="8289"/>
                  <a:pt x="18103" y="11783"/>
                </a:cubicBezTo>
              </a:path>
              <a:path w="21600" h="11783" stroke="0" extrusionOk="0">
                <a:moveTo>
                  <a:pt x="21599" y="42"/>
                </a:moveTo>
                <a:cubicBezTo>
                  <a:pt x="21591" y="4211"/>
                  <a:pt x="20377" y="8289"/>
                  <a:pt x="18103" y="11783"/>
                </a:cubicBezTo>
                <a:lnTo>
                  <a:pt x="0" y="0"/>
                </a:lnTo>
                <a:lnTo>
                  <a:pt x="21599" y="42"/>
                </a:lnTo>
                <a:close/>
              </a:path>
            </a:pathLst>
          </a:cu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249" name="Text Box 905"/>
          <xdr:cNvSpPr txBox="1">
            <a:spLocks noChangeArrowheads="1"/>
          </xdr:cNvSpPr>
        </xdr:nvSpPr>
        <xdr:spPr bwMode="auto">
          <a:xfrm>
            <a:off x="970" y="383"/>
            <a:ext cx="21"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α</a:t>
            </a:r>
            <a:endParaRPr lang="fr-FR"/>
          </a:p>
        </xdr:txBody>
      </xdr:sp>
    </xdr:grpSp>
    <xdr:clientData/>
  </xdr:twoCellAnchor>
  <xdr:twoCellAnchor>
    <xdr:from>
      <xdr:col>1</xdr:col>
      <xdr:colOff>754380</xdr:colOff>
      <xdr:row>62</xdr:row>
      <xdr:rowOff>129540</xdr:rowOff>
    </xdr:from>
    <xdr:to>
      <xdr:col>5</xdr:col>
      <xdr:colOff>510540</xdr:colOff>
      <xdr:row>73</xdr:row>
      <xdr:rowOff>213360</xdr:rowOff>
    </xdr:to>
    <xdr:grpSp>
      <xdr:nvGrpSpPr>
        <xdr:cNvPr id="254" name="Group 926"/>
        <xdr:cNvGrpSpPr>
          <a:grpSpLocks/>
        </xdr:cNvGrpSpPr>
      </xdr:nvGrpSpPr>
      <xdr:grpSpPr bwMode="auto">
        <a:xfrm>
          <a:off x="919480" y="10670540"/>
          <a:ext cx="3147060" cy="1899920"/>
          <a:chOff x="93" y="1104"/>
          <a:chExt cx="321" cy="197"/>
        </a:xfrm>
      </xdr:grpSpPr>
      <xdr:sp macro="" textlink="">
        <xdr:nvSpPr>
          <xdr:cNvPr id="255" name="Text Box 264"/>
          <xdr:cNvSpPr txBox="1">
            <a:spLocks noChangeAspect="1" noChangeArrowheads="1"/>
          </xdr:cNvSpPr>
        </xdr:nvSpPr>
        <xdr:spPr bwMode="auto">
          <a:xfrm>
            <a:off x="149" y="1284"/>
            <a:ext cx="18" cy="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A</a:t>
            </a:r>
            <a:endParaRPr lang="fr-FR"/>
          </a:p>
        </xdr:txBody>
      </xdr:sp>
      <xdr:sp macro="" textlink="">
        <xdr:nvSpPr>
          <xdr:cNvPr id="256" name="AutoShape 258"/>
          <xdr:cNvSpPr>
            <a:spLocks noChangeAspect="1" noChangeArrowheads="1"/>
          </xdr:cNvSpPr>
        </xdr:nvSpPr>
        <xdr:spPr bwMode="auto">
          <a:xfrm rot="8901088">
            <a:off x="268" y="1179"/>
            <a:ext cx="22" cy="18"/>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909 w 21600"/>
              <a:gd name="T13" fmla="*/ 4800 h 21600"/>
              <a:gd name="T14" fmla="*/ 16691 w 21600"/>
              <a:gd name="T15" fmla="*/ 16800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257" name="Line 260"/>
          <xdr:cNvSpPr>
            <a:spLocks noChangeAspect="1" noChangeShapeType="1"/>
          </xdr:cNvSpPr>
        </xdr:nvSpPr>
        <xdr:spPr bwMode="auto">
          <a:xfrm rot="-3939534">
            <a:off x="165" y="1168"/>
            <a:ext cx="160" cy="105"/>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58" name="Oval 262"/>
          <xdr:cNvSpPr>
            <a:spLocks noChangeAspect="1" noChangeArrowheads="1"/>
          </xdr:cNvSpPr>
        </xdr:nvSpPr>
        <xdr:spPr bwMode="auto">
          <a:xfrm rot="-3939534">
            <a:off x="304" y="1177"/>
            <a:ext cx="8" cy="7"/>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59" name="Oval 263"/>
          <xdr:cNvSpPr>
            <a:spLocks noChangeAspect="1" noChangeArrowheads="1"/>
          </xdr:cNvSpPr>
        </xdr:nvSpPr>
        <xdr:spPr bwMode="auto">
          <a:xfrm rot="-3939534">
            <a:off x="159" y="1268"/>
            <a:ext cx="8" cy="8"/>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60" name="Line 266"/>
          <xdr:cNvSpPr>
            <a:spLocks noChangeAspect="1" noChangeShapeType="1"/>
          </xdr:cNvSpPr>
        </xdr:nvSpPr>
        <xdr:spPr bwMode="auto">
          <a:xfrm rot="6860466" flipH="1" flipV="1">
            <a:off x="359" y="1125"/>
            <a:ext cx="39" cy="26"/>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261" name="Line 267"/>
          <xdr:cNvSpPr>
            <a:spLocks noChangeAspect="1" noChangeShapeType="1"/>
          </xdr:cNvSpPr>
        </xdr:nvSpPr>
        <xdr:spPr bwMode="auto">
          <a:xfrm rot="1460466" flipH="1" flipV="1">
            <a:off x="93" y="1203"/>
            <a:ext cx="92" cy="60"/>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262" name="Text Box 270"/>
          <xdr:cNvSpPr txBox="1">
            <a:spLocks noChangeAspect="1" noChangeArrowheads="1"/>
          </xdr:cNvSpPr>
        </xdr:nvSpPr>
        <xdr:spPr bwMode="auto">
          <a:xfrm>
            <a:off x="124" y="1259"/>
            <a:ext cx="37" cy="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g</a:t>
            </a:r>
            <a:endParaRPr lang="fr-FR"/>
          </a:p>
        </xdr:txBody>
      </xdr:sp>
      <xdr:sp macro="" textlink="">
        <xdr:nvSpPr>
          <xdr:cNvPr id="263" name="Text Box 271"/>
          <xdr:cNvSpPr txBox="1">
            <a:spLocks noChangeAspect="1" noChangeArrowheads="1"/>
          </xdr:cNvSpPr>
        </xdr:nvSpPr>
        <xdr:spPr bwMode="auto">
          <a:xfrm>
            <a:off x="282" y="1199"/>
            <a:ext cx="16" cy="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f</a:t>
            </a:r>
            <a:endParaRPr lang="fr-FR"/>
          </a:p>
        </xdr:txBody>
      </xdr:sp>
      <xdr:sp macro="" textlink="">
        <xdr:nvSpPr>
          <xdr:cNvPr id="264" name="Text Box 273"/>
          <xdr:cNvSpPr txBox="1">
            <a:spLocks noChangeAspect="1" noChangeArrowheads="1"/>
          </xdr:cNvSpPr>
        </xdr:nvSpPr>
        <xdr:spPr bwMode="auto">
          <a:xfrm>
            <a:off x="396" y="1108"/>
            <a:ext cx="18" cy="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t</a:t>
            </a:r>
            <a:endParaRPr lang="fr-FR"/>
          </a:p>
        </xdr:txBody>
      </xdr:sp>
      <xdr:sp macro="" textlink="">
        <xdr:nvSpPr>
          <xdr:cNvPr id="265" name="Text Box 281"/>
          <xdr:cNvSpPr txBox="1">
            <a:spLocks noChangeAspect="1" noChangeArrowheads="1"/>
          </xdr:cNvSpPr>
        </xdr:nvSpPr>
        <xdr:spPr bwMode="auto">
          <a:xfrm>
            <a:off x="265" y="1150"/>
            <a:ext cx="32" cy="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G3</a:t>
            </a:r>
            <a:endParaRPr lang="fr-FR"/>
          </a:p>
        </xdr:txBody>
      </xdr:sp>
      <xdr:sp macro="" textlink="">
        <xdr:nvSpPr>
          <xdr:cNvPr id="266" name="Text Box 282"/>
          <xdr:cNvSpPr txBox="1">
            <a:spLocks noChangeAspect="1" noChangeArrowheads="1"/>
          </xdr:cNvSpPr>
        </xdr:nvSpPr>
        <xdr:spPr bwMode="auto">
          <a:xfrm>
            <a:off x="308" y="1187"/>
            <a:ext cx="18" cy="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D</a:t>
            </a:r>
            <a:endParaRPr lang="fr-FR"/>
          </a:p>
        </xdr:txBody>
      </xdr:sp>
      <xdr:sp macro="" textlink="">
        <xdr:nvSpPr>
          <xdr:cNvPr id="267" name="Text Box 283"/>
          <xdr:cNvSpPr txBox="1">
            <a:spLocks noChangeAspect="1" noChangeArrowheads="1"/>
          </xdr:cNvSpPr>
        </xdr:nvSpPr>
        <xdr:spPr bwMode="auto">
          <a:xfrm>
            <a:off x="95" y="1172"/>
            <a:ext cx="18" cy="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u</a:t>
            </a:r>
            <a:endParaRPr lang="fr-FR"/>
          </a:p>
        </xdr:txBody>
      </xdr:sp>
      <xdr:sp macro="" textlink="">
        <xdr:nvSpPr>
          <xdr:cNvPr id="268" name="Text Box 284"/>
          <xdr:cNvSpPr txBox="1">
            <a:spLocks noChangeAspect="1" noChangeArrowheads="1"/>
          </xdr:cNvSpPr>
        </xdr:nvSpPr>
        <xdr:spPr bwMode="auto">
          <a:xfrm>
            <a:off x="122" y="1104"/>
            <a:ext cx="178" cy="4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0000"/>
                </a:solidFill>
                <a:latin typeface="Arial"/>
                <a:cs typeface="Arial"/>
              </a:rPr>
              <a:t> </a:t>
            </a:r>
            <a:r>
              <a:rPr lang="fr-FR" sz="1400" b="0" i="0" u="none" strike="noStrike" baseline="0">
                <a:solidFill>
                  <a:srgbClr val="FF0000"/>
                </a:solidFill>
                <a:latin typeface="Arial"/>
                <a:cs typeface="Arial"/>
              </a:rPr>
              <a:t>** </a:t>
            </a:r>
            <a:r>
              <a:rPr lang="fr-FR" sz="1000" b="0" i="0" u="none" strike="noStrike" baseline="0">
                <a:solidFill>
                  <a:srgbClr val="FF0000"/>
                </a:solidFill>
                <a:latin typeface="Arial"/>
                <a:cs typeface="Arial"/>
              </a:rPr>
              <a:t>Détail position point G3 dans repère tAu</a:t>
            </a:r>
            <a:endParaRPr lang="fr-FR"/>
          </a:p>
        </xdr:txBody>
      </xdr:sp>
      <xdr:sp macro="" textlink="">
        <xdr:nvSpPr>
          <xdr:cNvPr id="269" name="Line 292"/>
          <xdr:cNvSpPr>
            <a:spLocks noChangeAspect="1" noChangeShapeType="1"/>
          </xdr:cNvSpPr>
        </xdr:nvSpPr>
        <xdr:spPr bwMode="auto">
          <a:xfrm flipV="1">
            <a:off x="327" y="1145"/>
            <a:ext cx="39" cy="23"/>
          </a:xfrm>
          <a:prstGeom prst="line">
            <a:avLst/>
          </a:prstGeom>
          <a:noFill/>
          <a:ln w="190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sp macro="" textlink="">
        <xdr:nvSpPr>
          <xdr:cNvPr id="270" name="Oval 293"/>
          <xdr:cNvSpPr>
            <a:spLocks noChangeAspect="1" noChangeArrowheads="1"/>
          </xdr:cNvSpPr>
        </xdr:nvSpPr>
        <xdr:spPr bwMode="auto">
          <a:xfrm>
            <a:off x="365" y="1140"/>
            <a:ext cx="7" cy="8"/>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71" name="Text Box 294"/>
          <xdr:cNvSpPr txBox="1">
            <a:spLocks noChangeAspect="1" noChangeArrowheads="1"/>
          </xdr:cNvSpPr>
        </xdr:nvSpPr>
        <xdr:spPr bwMode="auto">
          <a:xfrm>
            <a:off x="369" y="1147"/>
            <a:ext cx="19" cy="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B</a:t>
            </a:r>
            <a:endParaRPr lang="fr-FR"/>
          </a:p>
        </xdr:txBody>
      </xdr:sp>
      <xdr:sp macro="" textlink="">
        <xdr:nvSpPr>
          <xdr:cNvPr id="272" name="Oval 923"/>
          <xdr:cNvSpPr>
            <a:spLocks noChangeArrowheads="1"/>
          </xdr:cNvSpPr>
        </xdr:nvSpPr>
        <xdr:spPr bwMode="auto">
          <a:xfrm>
            <a:off x="274" y="1183"/>
            <a:ext cx="8" cy="8"/>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73" name="Line 269"/>
          <xdr:cNvSpPr>
            <a:spLocks noChangeAspect="1" noChangeShapeType="1"/>
          </xdr:cNvSpPr>
        </xdr:nvSpPr>
        <xdr:spPr bwMode="auto">
          <a:xfrm rot="6860466" flipH="1" flipV="1">
            <a:off x="156" y="1181"/>
            <a:ext cx="131" cy="85"/>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sp macro="" textlink="">
        <xdr:nvSpPr>
          <xdr:cNvPr id="274" name="Line 268"/>
          <xdr:cNvSpPr>
            <a:spLocks noChangeAspect="1" noChangeShapeType="1"/>
          </xdr:cNvSpPr>
        </xdr:nvSpPr>
        <xdr:spPr bwMode="auto">
          <a:xfrm rot="1460466" flipH="1" flipV="1">
            <a:off x="263" y="1177"/>
            <a:ext cx="28" cy="18"/>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grpSp>
    <xdr:clientData/>
  </xdr:twoCellAnchor>
  <xdr:twoCellAnchor>
    <xdr:from>
      <xdr:col>1</xdr:col>
      <xdr:colOff>754380</xdr:colOff>
      <xdr:row>77</xdr:row>
      <xdr:rowOff>106680</xdr:rowOff>
    </xdr:from>
    <xdr:to>
      <xdr:col>5</xdr:col>
      <xdr:colOff>533400</xdr:colOff>
      <xdr:row>90</xdr:row>
      <xdr:rowOff>30480</xdr:rowOff>
    </xdr:to>
    <xdr:grpSp>
      <xdr:nvGrpSpPr>
        <xdr:cNvPr id="275" name="Group 927"/>
        <xdr:cNvGrpSpPr>
          <a:grpSpLocks/>
        </xdr:cNvGrpSpPr>
      </xdr:nvGrpSpPr>
      <xdr:grpSpPr bwMode="auto">
        <a:xfrm>
          <a:off x="919480" y="13174980"/>
          <a:ext cx="3169920" cy="2070100"/>
          <a:chOff x="93" y="1364"/>
          <a:chExt cx="323" cy="213"/>
        </a:xfrm>
      </xdr:grpSpPr>
      <xdr:sp macro="" textlink="">
        <xdr:nvSpPr>
          <xdr:cNvPr id="276" name="Text Box 854"/>
          <xdr:cNvSpPr txBox="1">
            <a:spLocks noChangeArrowheads="1"/>
          </xdr:cNvSpPr>
        </xdr:nvSpPr>
        <xdr:spPr bwMode="auto">
          <a:xfrm>
            <a:off x="150" y="1559"/>
            <a:ext cx="19" cy="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S</a:t>
            </a:r>
            <a:endParaRPr lang="fr-FR"/>
          </a:p>
        </xdr:txBody>
      </xdr:sp>
      <xdr:sp macro="" textlink="">
        <xdr:nvSpPr>
          <xdr:cNvPr id="277" name="AutoShape 855"/>
          <xdr:cNvSpPr>
            <a:spLocks noChangeArrowheads="1"/>
          </xdr:cNvSpPr>
        </xdr:nvSpPr>
        <xdr:spPr bwMode="auto">
          <a:xfrm rot="8901088">
            <a:off x="269" y="1445"/>
            <a:ext cx="22" cy="20"/>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909 w 21600"/>
              <a:gd name="T13" fmla="*/ 4320 h 21600"/>
              <a:gd name="T14" fmla="*/ 16691 w 21600"/>
              <a:gd name="T15" fmla="*/ 17280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278" name="Line 856"/>
          <xdr:cNvSpPr>
            <a:spLocks noChangeShapeType="1"/>
          </xdr:cNvSpPr>
        </xdr:nvSpPr>
        <xdr:spPr bwMode="auto">
          <a:xfrm rot="-3939534">
            <a:off x="158" y="1438"/>
            <a:ext cx="173" cy="106"/>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79" name="Oval 857"/>
          <xdr:cNvSpPr>
            <a:spLocks noChangeArrowheads="1"/>
          </xdr:cNvSpPr>
        </xdr:nvSpPr>
        <xdr:spPr bwMode="auto">
          <a:xfrm rot="-3939534">
            <a:off x="304" y="1444"/>
            <a:ext cx="9" cy="7"/>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80" name="Oval 858"/>
          <xdr:cNvSpPr>
            <a:spLocks noChangeArrowheads="1"/>
          </xdr:cNvSpPr>
        </xdr:nvSpPr>
        <xdr:spPr bwMode="auto">
          <a:xfrm rot="-3939534">
            <a:off x="159" y="1542"/>
            <a:ext cx="9" cy="8"/>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81" name="Line 859"/>
          <xdr:cNvSpPr>
            <a:spLocks noChangeShapeType="1"/>
          </xdr:cNvSpPr>
        </xdr:nvSpPr>
        <xdr:spPr bwMode="auto">
          <a:xfrm rot="6860466" flipH="1" flipV="1">
            <a:off x="359" y="1387"/>
            <a:ext cx="42" cy="26"/>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282" name="Line 860"/>
          <xdr:cNvSpPr>
            <a:spLocks noChangeShapeType="1"/>
          </xdr:cNvSpPr>
        </xdr:nvSpPr>
        <xdr:spPr bwMode="auto">
          <a:xfrm rot="1460466" flipH="1" flipV="1">
            <a:off x="93" y="1471"/>
            <a:ext cx="92" cy="65"/>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283" name="Text Box 863"/>
          <xdr:cNvSpPr txBox="1">
            <a:spLocks noChangeArrowheads="1"/>
          </xdr:cNvSpPr>
        </xdr:nvSpPr>
        <xdr:spPr bwMode="auto">
          <a:xfrm>
            <a:off x="139" y="1533"/>
            <a:ext cx="17" cy="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k</a:t>
            </a:r>
            <a:endParaRPr lang="fr-FR"/>
          </a:p>
        </xdr:txBody>
      </xdr:sp>
      <xdr:sp macro="" textlink="">
        <xdr:nvSpPr>
          <xdr:cNvPr id="284" name="Text Box 864"/>
          <xdr:cNvSpPr txBox="1">
            <a:spLocks noChangeArrowheads="1"/>
          </xdr:cNvSpPr>
        </xdr:nvSpPr>
        <xdr:spPr bwMode="auto">
          <a:xfrm>
            <a:off x="283" y="1467"/>
            <a:ext cx="16" cy="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j</a:t>
            </a:r>
            <a:endParaRPr lang="fr-FR"/>
          </a:p>
        </xdr:txBody>
      </xdr:sp>
      <xdr:sp macro="" textlink="">
        <xdr:nvSpPr>
          <xdr:cNvPr id="285" name="Text Box 865"/>
          <xdr:cNvSpPr txBox="1">
            <a:spLocks noChangeArrowheads="1"/>
          </xdr:cNvSpPr>
        </xdr:nvSpPr>
        <xdr:spPr bwMode="auto">
          <a:xfrm>
            <a:off x="397" y="1368"/>
            <a:ext cx="19" cy="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p</a:t>
            </a:r>
            <a:endParaRPr lang="fr-FR"/>
          </a:p>
        </xdr:txBody>
      </xdr:sp>
      <xdr:sp macro="" textlink="">
        <xdr:nvSpPr>
          <xdr:cNvPr id="286" name="Text Box 867"/>
          <xdr:cNvSpPr txBox="1">
            <a:spLocks noChangeArrowheads="1"/>
          </xdr:cNvSpPr>
        </xdr:nvSpPr>
        <xdr:spPr bwMode="auto">
          <a:xfrm>
            <a:off x="266" y="1417"/>
            <a:ext cx="32"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G1</a:t>
            </a:r>
            <a:endParaRPr lang="fr-FR"/>
          </a:p>
        </xdr:txBody>
      </xdr:sp>
      <xdr:sp macro="" textlink="">
        <xdr:nvSpPr>
          <xdr:cNvPr id="287" name="Text Box 868"/>
          <xdr:cNvSpPr txBox="1">
            <a:spLocks noChangeArrowheads="1"/>
          </xdr:cNvSpPr>
        </xdr:nvSpPr>
        <xdr:spPr bwMode="auto">
          <a:xfrm>
            <a:off x="309" y="1454"/>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T</a:t>
            </a:r>
            <a:endParaRPr lang="fr-FR"/>
          </a:p>
        </xdr:txBody>
      </xdr:sp>
      <xdr:sp macro="" textlink="">
        <xdr:nvSpPr>
          <xdr:cNvPr id="288" name="Text Box 869"/>
          <xdr:cNvSpPr txBox="1">
            <a:spLocks noChangeArrowheads="1"/>
          </xdr:cNvSpPr>
        </xdr:nvSpPr>
        <xdr:spPr bwMode="auto">
          <a:xfrm>
            <a:off x="95" y="1438"/>
            <a:ext cx="18" cy="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q</a:t>
            </a:r>
            <a:endParaRPr lang="fr-FR"/>
          </a:p>
        </xdr:txBody>
      </xdr:sp>
      <xdr:sp macro="" textlink="">
        <xdr:nvSpPr>
          <xdr:cNvPr id="289" name="Text Box 870"/>
          <xdr:cNvSpPr txBox="1">
            <a:spLocks noChangeArrowheads="1"/>
          </xdr:cNvSpPr>
        </xdr:nvSpPr>
        <xdr:spPr bwMode="auto">
          <a:xfrm>
            <a:off x="122" y="1364"/>
            <a:ext cx="179" cy="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0000"/>
                </a:solidFill>
                <a:latin typeface="Arial"/>
                <a:cs typeface="Arial"/>
              </a:rPr>
              <a:t> </a:t>
            </a:r>
            <a:r>
              <a:rPr lang="fr-FR" sz="1400" b="0" i="0" u="none" strike="noStrike" baseline="0">
                <a:solidFill>
                  <a:srgbClr val="3366FF"/>
                </a:solidFill>
                <a:latin typeface="Arial"/>
                <a:cs typeface="Arial"/>
              </a:rPr>
              <a:t>** </a:t>
            </a:r>
            <a:r>
              <a:rPr lang="fr-FR" sz="1000" b="0" i="0" u="none" strike="noStrike" baseline="0">
                <a:solidFill>
                  <a:srgbClr val="3366FF"/>
                </a:solidFill>
                <a:latin typeface="Arial"/>
                <a:cs typeface="Arial"/>
              </a:rPr>
              <a:t>Détail position point G1 dans repère pSq</a:t>
            </a:r>
            <a:endParaRPr lang="fr-FR"/>
          </a:p>
        </xdr:txBody>
      </xdr:sp>
      <xdr:sp macro="" textlink="">
        <xdr:nvSpPr>
          <xdr:cNvPr id="290" name="Line 871"/>
          <xdr:cNvSpPr>
            <a:spLocks noChangeShapeType="1"/>
          </xdr:cNvSpPr>
        </xdr:nvSpPr>
        <xdr:spPr bwMode="auto">
          <a:xfrm flipV="1">
            <a:off x="332" y="1408"/>
            <a:ext cx="34" cy="23"/>
          </a:xfrm>
          <a:prstGeom prst="line">
            <a:avLst/>
          </a:prstGeom>
          <a:noFill/>
          <a:ln w="190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sp macro="" textlink="">
        <xdr:nvSpPr>
          <xdr:cNvPr id="291" name="Oval 872"/>
          <xdr:cNvSpPr>
            <a:spLocks noChangeArrowheads="1"/>
          </xdr:cNvSpPr>
        </xdr:nvSpPr>
        <xdr:spPr bwMode="auto">
          <a:xfrm>
            <a:off x="365" y="1403"/>
            <a:ext cx="7" cy="8"/>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92" name="Text Box 873"/>
          <xdr:cNvSpPr txBox="1">
            <a:spLocks noChangeArrowheads="1"/>
          </xdr:cNvSpPr>
        </xdr:nvSpPr>
        <xdr:spPr bwMode="auto">
          <a:xfrm>
            <a:off x="370" y="1410"/>
            <a:ext cx="18"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R</a:t>
            </a:r>
            <a:endParaRPr lang="fr-FR"/>
          </a:p>
        </xdr:txBody>
      </xdr:sp>
      <xdr:sp macro="" textlink="">
        <xdr:nvSpPr>
          <xdr:cNvPr id="293" name="Oval 924"/>
          <xdr:cNvSpPr>
            <a:spLocks noChangeArrowheads="1"/>
          </xdr:cNvSpPr>
        </xdr:nvSpPr>
        <xdr:spPr bwMode="auto">
          <a:xfrm>
            <a:off x="275" y="1450"/>
            <a:ext cx="8" cy="8"/>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94" name="Line 861"/>
          <xdr:cNvSpPr>
            <a:spLocks noChangeShapeType="1"/>
          </xdr:cNvSpPr>
        </xdr:nvSpPr>
        <xdr:spPr bwMode="auto">
          <a:xfrm rot="1460466" flipH="1" flipV="1">
            <a:off x="264" y="1443"/>
            <a:ext cx="28" cy="19"/>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sp macro="" textlink="">
        <xdr:nvSpPr>
          <xdr:cNvPr id="295" name="Line 862"/>
          <xdr:cNvSpPr>
            <a:spLocks noChangeShapeType="1"/>
          </xdr:cNvSpPr>
        </xdr:nvSpPr>
        <xdr:spPr bwMode="auto">
          <a:xfrm rot="6860466" flipH="1" flipV="1">
            <a:off x="151" y="1450"/>
            <a:ext cx="142" cy="86"/>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9"/>
  <sheetViews>
    <sheetView topLeftCell="A10" workbookViewId="0">
      <selection activeCell="I31" sqref="I31"/>
    </sheetView>
  </sheetViews>
  <sheetFormatPr baseColWidth="10" defaultRowHeight="15.6" x14ac:dyDescent="0.3"/>
  <cols>
    <col min="1" max="1" width="12.33203125" style="1" customWidth="1"/>
    <col min="2" max="9" width="11.5546875" style="1"/>
    <col min="10" max="10" width="11.5546875" style="1" customWidth="1"/>
    <col min="11" max="16384" width="11.5546875" style="1"/>
  </cols>
  <sheetData>
    <row r="1" spans="1:11" x14ac:dyDescent="0.3">
      <c r="A1" s="355" t="s">
        <v>194</v>
      </c>
      <c r="B1" s="355"/>
      <c r="C1" s="355"/>
      <c r="D1" s="355"/>
      <c r="E1" s="355"/>
      <c r="F1" s="355"/>
      <c r="G1" s="355"/>
      <c r="H1" s="355"/>
      <c r="I1" s="355"/>
      <c r="J1" s="355"/>
    </row>
    <row r="3" spans="1:11" ht="15.6" customHeight="1" x14ac:dyDescent="0.3">
      <c r="A3" s="356" t="s">
        <v>195</v>
      </c>
      <c r="B3" s="356"/>
      <c r="C3" s="356"/>
      <c r="D3" s="356"/>
      <c r="E3" s="356"/>
      <c r="F3" s="356"/>
      <c r="G3" s="356"/>
      <c r="H3" s="356"/>
      <c r="I3" s="356"/>
      <c r="J3" s="356"/>
      <c r="K3" s="207"/>
    </row>
    <row r="4" spans="1:11" x14ac:dyDescent="0.3">
      <c r="A4" s="356"/>
      <c r="B4" s="356"/>
      <c r="C4" s="356"/>
      <c r="D4" s="356"/>
      <c r="E4" s="356"/>
      <c r="F4" s="356"/>
      <c r="G4" s="356"/>
      <c r="H4" s="356"/>
      <c r="I4" s="356"/>
      <c r="J4" s="356"/>
      <c r="K4" s="207"/>
    </row>
    <row r="5" spans="1:11" x14ac:dyDescent="0.3">
      <c r="A5" s="356"/>
      <c r="B5" s="356"/>
      <c r="C5" s="356"/>
      <c r="D5" s="356"/>
      <c r="E5" s="356"/>
      <c r="F5" s="356"/>
      <c r="G5" s="356"/>
      <c r="H5" s="356"/>
      <c r="I5" s="356"/>
      <c r="J5" s="356"/>
      <c r="K5" s="207"/>
    </row>
    <row r="6" spans="1:11" x14ac:dyDescent="0.3">
      <c r="A6" s="207"/>
      <c r="B6" s="207"/>
      <c r="C6" s="207"/>
      <c r="D6" s="207"/>
      <c r="E6" s="207"/>
      <c r="F6" s="207"/>
      <c r="G6" s="207"/>
      <c r="H6" s="207"/>
      <c r="I6" s="207"/>
      <c r="J6" s="207"/>
      <c r="K6" s="207"/>
    </row>
    <row r="7" spans="1:11" ht="15.6" customHeight="1" x14ac:dyDescent="0.3">
      <c r="A7" s="209" t="s">
        <v>196</v>
      </c>
      <c r="B7" s="207"/>
      <c r="C7" s="207"/>
      <c r="D7" s="207"/>
      <c r="E7" s="207"/>
      <c r="F7" s="207"/>
      <c r="G7" s="207"/>
      <c r="H7" s="207"/>
      <c r="I7" s="207"/>
    </row>
    <row r="9" spans="1:11" x14ac:dyDescent="0.3">
      <c r="A9" s="208" t="s">
        <v>197</v>
      </c>
      <c r="B9" s="206"/>
      <c r="C9" s="206"/>
      <c r="D9" s="206"/>
      <c r="E9" s="206"/>
      <c r="F9" s="206"/>
      <c r="G9" s="206"/>
      <c r="H9" s="206"/>
      <c r="I9" s="206"/>
    </row>
  </sheetData>
  <mergeCells count="2">
    <mergeCell ref="A1:J1"/>
    <mergeCell ref="A3:J5"/>
  </mergeCell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43"/>
  <sheetViews>
    <sheetView zoomScaleNormal="100" workbookViewId="0">
      <selection activeCell="C8" sqref="C8"/>
    </sheetView>
  </sheetViews>
  <sheetFormatPr baseColWidth="10" defaultColWidth="11.5546875" defaultRowHeight="13.8" x14ac:dyDescent="0.3"/>
  <cols>
    <col min="1" max="1" width="37.77734375" style="457" customWidth="1"/>
    <col min="2" max="2" width="6.109375" style="518" customWidth="1"/>
    <col min="3" max="3" width="11" style="518" customWidth="1"/>
    <col min="4" max="4" width="9" style="457" customWidth="1"/>
    <col min="5" max="5" width="2.6640625" style="462" customWidth="1"/>
    <col min="6" max="6" width="12.21875" style="457" customWidth="1"/>
    <col min="7" max="16384" width="11.5546875" style="457"/>
  </cols>
  <sheetData>
    <row r="1" spans="1:17" ht="15.6" x14ac:dyDescent="0.3">
      <c r="A1" s="456" t="s">
        <v>54</v>
      </c>
      <c r="B1" s="456"/>
      <c r="C1" s="456"/>
      <c r="D1" s="456"/>
      <c r="E1" s="456"/>
      <c r="F1" s="456"/>
      <c r="G1" s="456"/>
      <c r="H1" s="456"/>
      <c r="I1" s="456"/>
      <c r="J1" s="456"/>
      <c r="K1" s="456"/>
      <c r="L1" s="456"/>
      <c r="M1" s="456"/>
    </row>
    <row r="2" spans="1:17" x14ac:dyDescent="0.3">
      <c r="A2" s="2"/>
      <c r="B2" s="458"/>
      <c r="C2" s="458"/>
      <c r="D2" s="2"/>
      <c r="E2" s="459"/>
      <c r="F2" s="2"/>
      <c r="G2" s="2"/>
      <c r="H2" s="2"/>
      <c r="I2" s="2"/>
      <c r="J2" s="2"/>
    </row>
    <row r="3" spans="1:17" x14ac:dyDescent="0.3">
      <c r="A3" s="460" t="s">
        <v>55</v>
      </c>
      <c r="B3" s="460" t="s">
        <v>56</v>
      </c>
      <c r="C3" s="461">
        <f>2000+C4</f>
        <v>10000</v>
      </c>
      <c r="D3" s="460" t="s">
        <v>0</v>
      </c>
      <c r="G3" s="2"/>
      <c r="H3" s="2"/>
      <c r="I3" s="2"/>
      <c r="J3" s="2"/>
    </row>
    <row r="4" spans="1:17" x14ac:dyDescent="0.3">
      <c r="A4" s="460" t="s">
        <v>21</v>
      </c>
      <c r="B4" s="463" t="s">
        <v>48</v>
      </c>
      <c r="C4" s="464">
        <v>8000</v>
      </c>
      <c r="D4" s="460" t="s">
        <v>0</v>
      </c>
      <c r="E4" s="465"/>
      <c r="F4" s="2"/>
      <c r="G4" s="2"/>
      <c r="H4" s="2"/>
      <c r="I4" s="2"/>
      <c r="J4" s="2"/>
    </row>
    <row r="5" spans="1:17" x14ac:dyDescent="0.3">
      <c r="A5" s="460" t="s">
        <v>34</v>
      </c>
      <c r="B5" s="463" t="s">
        <v>38</v>
      </c>
      <c r="C5" s="466">
        <f>C4-C7</f>
        <v>7200</v>
      </c>
      <c r="D5" s="460" t="s">
        <v>0</v>
      </c>
      <c r="E5" s="465"/>
      <c r="F5" s="2" t="s">
        <v>26</v>
      </c>
      <c r="G5" s="2"/>
      <c r="H5" s="2"/>
      <c r="I5" s="2"/>
      <c r="J5" s="2"/>
    </row>
    <row r="6" spans="1:17" x14ac:dyDescent="0.3">
      <c r="A6" s="460" t="s">
        <v>35</v>
      </c>
      <c r="B6" s="463" t="s">
        <v>39</v>
      </c>
      <c r="C6" s="467">
        <f>C5-C9</f>
        <v>6900</v>
      </c>
      <c r="D6" s="460" t="s">
        <v>0</v>
      </c>
      <c r="E6" s="465"/>
      <c r="F6" s="2" t="s">
        <v>27</v>
      </c>
      <c r="G6" s="2"/>
      <c r="H6" s="2"/>
      <c r="I6" s="2"/>
      <c r="J6" s="2"/>
    </row>
    <row r="7" spans="1:17" x14ac:dyDescent="0.3">
      <c r="A7" s="2" t="s">
        <v>24</v>
      </c>
      <c r="B7" s="468" t="s">
        <v>40</v>
      </c>
      <c r="C7" s="469">
        <v>800</v>
      </c>
      <c r="D7" s="2" t="s">
        <v>0</v>
      </c>
      <c r="E7" s="459"/>
      <c r="F7" s="2"/>
      <c r="G7" s="2"/>
      <c r="H7" s="2"/>
      <c r="I7" s="2"/>
      <c r="J7" s="2"/>
    </row>
    <row r="8" spans="1:17" x14ac:dyDescent="0.3">
      <c r="A8" s="2" t="s">
        <v>25</v>
      </c>
      <c r="B8" s="468" t="s">
        <v>41</v>
      </c>
      <c r="C8" s="469">
        <v>3400</v>
      </c>
      <c r="D8" s="2" t="s">
        <v>0</v>
      </c>
      <c r="E8" s="459"/>
      <c r="F8" s="2"/>
      <c r="G8" s="2"/>
      <c r="H8" s="2"/>
      <c r="I8" s="2"/>
      <c r="J8" s="2"/>
    </row>
    <row r="9" spans="1:17" x14ac:dyDescent="0.3">
      <c r="A9" s="2" t="s">
        <v>36</v>
      </c>
      <c r="B9" s="468" t="s">
        <v>42</v>
      </c>
      <c r="C9" s="469">
        <v>300</v>
      </c>
      <c r="D9" s="2" t="s">
        <v>0</v>
      </c>
      <c r="E9" s="459"/>
      <c r="F9" s="2"/>
      <c r="G9" s="2"/>
      <c r="H9" s="2"/>
      <c r="I9" s="2"/>
      <c r="J9" s="2"/>
      <c r="N9" s="2"/>
      <c r="O9" s="458"/>
      <c r="P9" s="470"/>
      <c r="Q9" s="2"/>
    </row>
    <row r="10" spans="1:17" ht="16.2" x14ac:dyDescent="0.3">
      <c r="A10" s="2" t="s">
        <v>22</v>
      </c>
      <c r="B10" s="463" t="s">
        <v>43</v>
      </c>
      <c r="C10" s="471">
        <f>DEGREES(ASIN((C6)/(3*C8)))</f>
        <v>42.568454203293513</v>
      </c>
      <c r="D10" s="2" t="s">
        <v>3</v>
      </c>
      <c r="E10" s="459"/>
      <c r="F10" s="2" t="s">
        <v>49</v>
      </c>
      <c r="G10" s="2"/>
      <c r="H10" s="2"/>
      <c r="I10" s="2"/>
      <c r="J10" s="2"/>
    </row>
    <row r="11" spans="1:17" x14ac:dyDescent="0.3">
      <c r="A11" s="460" t="s">
        <v>4</v>
      </c>
      <c r="B11" s="468"/>
      <c r="C11" s="472">
        <f>Ta*2</f>
        <v>85.136908406587025</v>
      </c>
      <c r="D11" s="460" t="s">
        <v>3</v>
      </c>
      <c r="E11" s="465"/>
      <c r="F11" s="2" t="s">
        <v>57</v>
      </c>
      <c r="G11" s="2"/>
      <c r="H11" s="2"/>
      <c r="I11" s="2"/>
      <c r="J11" s="2"/>
    </row>
    <row r="12" spans="1:17" x14ac:dyDescent="0.3">
      <c r="A12" s="2" t="s">
        <v>23</v>
      </c>
      <c r="B12" s="468" t="s">
        <v>44</v>
      </c>
      <c r="C12" s="473">
        <v>100</v>
      </c>
      <c r="D12" s="460" t="s">
        <v>0</v>
      </c>
      <c r="E12" s="465"/>
      <c r="F12" s="2"/>
      <c r="G12" s="2"/>
      <c r="H12" s="2"/>
      <c r="I12" s="2"/>
      <c r="J12" s="2"/>
    </row>
    <row r="13" spans="1:17" x14ac:dyDescent="0.3">
      <c r="A13" s="2"/>
      <c r="B13" s="468" t="s">
        <v>45</v>
      </c>
      <c r="C13" s="474">
        <v>600</v>
      </c>
      <c r="D13" s="460" t="s">
        <v>0</v>
      </c>
      <c r="E13" s="465"/>
      <c r="F13" s="2"/>
      <c r="G13" s="2"/>
      <c r="H13" s="2"/>
      <c r="I13" s="2"/>
      <c r="J13" s="2"/>
    </row>
    <row r="14" spans="1:17" ht="15.6" x14ac:dyDescent="0.35">
      <c r="A14" s="460" t="s">
        <v>5</v>
      </c>
      <c r="B14" s="463" t="s">
        <v>46</v>
      </c>
      <c r="C14" s="475">
        <f>SQRT((C32-C33)^2+(D33-D32)^2)</f>
        <v>3701.8021891331764</v>
      </c>
      <c r="D14" s="460" t="s">
        <v>0</v>
      </c>
      <c r="E14" s="465"/>
      <c r="F14" s="2" t="s">
        <v>50</v>
      </c>
      <c r="G14" s="2"/>
      <c r="H14" s="2"/>
      <c r="I14" s="2"/>
      <c r="J14" s="2"/>
    </row>
    <row r="15" spans="1:17" ht="16.8" x14ac:dyDescent="0.35">
      <c r="A15" s="2" t="s">
        <v>53</v>
      </c>
      <c r="B15" s="461" t="s">
        <v>37</v>
      </c>
      <c r="C15" s="476">
        <f>DEGREES(ACOS((C32-C33)/Lv))</f>
        <v>61.69039139979575</v>
      </c>
      <c r="D15" s="460" t="s">
        <v>3</v>
      </c>
      <c r="F15" s="4" t="s">
        <v>59</v>
      </c>
      <c r="G15" s="2"/>
      <c r="H15" s="2"/>
      <c r="I15" s="2"/>
      <c r="J15" s="2"/>
    </row>
    <row r="16" spans="1:17" x14ac:dyDescent="0.3">
      <c r="A16" s="460" t="s">
        <v>58</v>
      </c>
      <c r="B16" s="463" t="s">
        <v>47</v>
      </c>
      <c r="C16" s="477">
        <f>(C8*SIN(RADIANS(Ta)))-(100/COS(RADIANS(Ta)))</f>
        <v>2164.2170791487524</v>
      </c>
      <c r="D16" s="460" t="s">
        <v>0</v>
      </c>
      <c r="E16" s="465"/>
      <c r="F16" s="2" t="s">
        <v>60</v>
      </c>
      <c r="G16" s="2"/>
      <c r="H16" s="2"/>
      <c r="I16" s="2"/>
      <c r="J16" s="2"/>
    </row>
    <row r="17" spans="1:10" x14ac:dyDescent="0.3">
      <c r="A17" s="460"/>
      <c r="B17" s="478"/>
      <c r="C17" s="479"/>
      <c r="D17" s="460"/>
      <c r="E17" s="465"/>
      <c r="F17" s="2"/>
      <c r="G17" s="2"/>
      <c r="H17" s="2"/>
      <c r="I17" s="2"/>
      <c r="J17" s="2"/>
    </row>
    <row r="18" spans="1:10" x14ac:dyDescent="0.3">
      <c r="A18" s="480" t="s">
        <v>6</v>
      </c>
      <c r="B18" s="481"/>
      <c r="C18" s="482" t="s">
        <v>1</v>
      </c>
      <c r="D18" s="483" t="s">
        <v>2</v>
      </c>
      <c r="E18" s="484"/>
      <c r="F18" s="2"/>
      <c r="G18" s="2"/>
      <c r="H18" s="2"/>
      <c r="I18" s="2"/>
      <c r="J18" s="2"/>
    </row>
    <row r="19" spans="1:10" x14ac:dyDescent="0.3">
      <c r="A19" s="485" t="s">
        <v>16</v>
      </c>
      <c r="B19" s="486"/>
      <c r="C19" s="487">
        <v>0</v>
      </c>
      <c r="D19" s="488">
        <v>0</v>
      </c>
      <c r="E19" s="489"/>
      <c r="F19" s="3" t="s">
        <v>28</v>
      </c>
      <c r="H19" s="2"/>
      <c r="I19" s="2"/>
      <c r="J19" s="2"/>
    </row>
    <row r="20" spans="1:10" x14ac:dyDescent="0.3">
      <c r="A20" s="485" t="s">
        <v>14</v>
      </c>
      <c r="B20" s="486"/>
      <c r="C20" s="490">
        <f>C8*COS(RADIANS(Ta))</f>
        <v>2503.9968051097826</v>
      </c>
      <c r="D20" s="488">
        <v>0</v>
      </c>
      <c r="E20" s="489"/>
      <c r="F20" s="3" t="s">
        <v>31</v>
      </c>
      <c r="H20" s="2"/>
      <c r="I20" s="2"/>
      <c r="J20" s="2"/>
    </row>
    <row r="21" spans="1:10" x14ac:dyDescent="0.3">
      <c r="A21" s="485" t="s">
        <v>9</v>
      </c>
      <c r="B21" s="486"/>
      <c r="C21" s="490">
        <f>0.5*C8*COS(RADIANS(Ta))</f>
        <v>1251.9984025548913</v>
      </c>
      <c r="D21" s="491">
        <f>0.5*C8*SIN(RADIANS(Ta))</f>
        <v>1150.0000000000002</v>
      </c>
      <c r="E21" s="489"/>
      <c r="F21" s="3" t="s">
        <v>29</v>
      </c>
      <c r="H21" s="2"/>
      <c r="I21" s="2"/>
      <c r="J21" s="2"/>
    </row>
    <row r="22" spans="1:10" x14ac:dyDescent="0.3">
      <c r="A22" s="485" t="s">
        <v>13</v>
      </c>
      <c r="B22" s="486"/>
      <c r="C22" s="490">
        <f>C19</f>
        <v>0</v>
      </c>
      <c r="D22" s="491">
        <f>C8*SIN(RADIANS(Ta))</f>
        <v>2300.0000000000005</v>
      </c>
      <c r="E22" s="489"/>
      <c r="F22" s="3" t="s">
        <v>32</v>
      </c>
      <c r="G22" s="2"/>
      <c r="H22" s="2"/>
      <c r="I22" s="2"/>
      <c r="J22" s="2"/>
    </row>
    <row r="23" spans="1:10" x14ac:dyDescent="0.3">
      <c r="A23" s="485" t="s">
        <v>15</v>
      </c>
      <c r="B23" s="486"/>
      <c r="C23" s="490">
        <f>C20</f>
        <v>2503.9968051097826</v>
      </c>
      <c r="D23" s="491">
        <f>C8*SIN(RADIANS(Ta))</f>
        <v>2300.0000000000005</v>
      </c>
      <c r="E23" s="489"/>
      <c r="F23" s="3" t="s">
        <v>30</v>
      </c>
      <c r="G23" s="2"/>
      <c r="H23" s="2"/>
      <c r="I23" s="2"/>
      <c r="J23" s="2"/>
    </row>
    <row r="24" spans="1:10" x14ac:dyDescent="0.3">
      <c r="A24" s="485" t="s">
        <v>8</v>
      </c>
      <c r="B24" s="486"/>
      <c r="C24" s="490">
        <f>C21</f>
        <v>1251.9984025548913</v>
      </c>
      <c r="D24" s="491">
        <f>D21+C8*SIN(RADIANS(Ta))</f>
        <v>3450.0000000000009</v>
      </c>
      <c r="E24" s="489"/>
      <c r="F24" s="2"/>
      <c r="G24" s="2"/>
      <c r="H24" s="2"/>
      <c r="I24" s="2"/>
      <c r="J24" s="2"/>
    </row>
    <row r="25" spans="1:10" x14ac:dyDescent="0.3">
      <c r="A25" s="485" t="s">
        <v>11</v>
      </c>
      <c r="B25" s="486"/>
      <c r="C25" s="490">
        <f>C19</f>
        <v>0</v>
      </c>
      <c r="D25" s="491">
        <f>D22+C8*SIN(RADIANS(Ta))</f>
        <v>4600.0000000000009</v>
      </c>
      <c r="E25" s="489"/>
      <c r="F25" s="2"/>
      <c r="G25" s="2"/>
      <c r="H25" s="2"/>
      <c r="I25" s="2"/>
      <c r="J25" s="2"/>
    </row>
    <row r="26" spans="1:10" x14ac:dyDescent="0.3">
      <c r="A26" s="485" t="s">
        <v>12</v>
      </c>
      <c r="B26" s="486"/>
      <c r="C26" s="490">
        <f>C20</f>
        <v>2503.9968051097826</v>
      </c>
      <c r="D26" s="491">
        <f>D25</f>
        <v>4600.0000000000009</v>
      </c>
      <c r="E26" s="489"/>
      <c r="F26" s="2"/>
      <c r="G26" s="2"/>
      <c r="H26" s="2"/>
      <c r="I26" s="2"/>
      <c r="J26" s="2"/>
    </row>
    <row r="27" spans="1:10" x14ac:dyDescent="0.3">
      <c r="A27" s="485" t="s">
        <v>7</v>
      </c>
      <c r="B27" s="486"/>
      <c r="C27" s="490">
        <f>C24</f>
        <v>1251.9984025548913</v>
      </c>
      <c r="D27" s="491">
        <f>D24+C8*SIN(RADIANS(Ta))</f>
        <v>5750.0000000000018</v>
      </c>
      <c r="E27" s="489"/>
      <c r="F27" s="2"/>
      <c r="G27" s="2"/>
      <c r="H27" s="2"/>
      <c r="I27" s="2"/>
      <c r="J27" s="2"/>
    </row>
    <row r="28" spans="1:10" x14ac:dyDescent="0.3">
      <c r="A28" s="485" t="s">
        <v>10</v>
      </c>
      <c r="B28" s="486"/>
      <c r="C28" s="490">
        <f>C19</f>
        <v>0</v>
      </c>
      <c r="D28" s="491">
        <f>D25+C8*SIN(RADIANS(Ta))</f>
        <v>6900.0000000000018</v>
      </c>
      <c r="E28" s="489"/>
      <c r="F28" s="2"/>
      <c r="G28" s="492"/>
      <c r="H28" s="2"/>
      <c r="I28" s="2"/>
      <c r="J28" s="2"/>
    </row>
    <row r="29" spans="1:10" x14ac:dyDescent="0.3">
      <c r="A29" s="485" t="s">
        <v>20</v>
      </c>
      <c r="B29" s="486"/>
      <c r="C29" s="490">
        <f>C20</f>
        <v>2503.9968051097826</v>
      </c>
      <c r="D29" s="491">
        <f>D28</f>
        <v>6900.0000000000018</v>
      </c>
      <c r="E29" s="489"/>
      <c r="F29" s="2"/>
      <c r="G29" s="2"/>
      <c r="H29" s="2"/>
      <c r="I29" s="2"/>
      <c r="J29" s="2"/>
    </row>
    <row r="30" spans="1:10" x14ac:dyDescent="0.3">
      <c r="A30" s="485"/>
      <c r="B30" s="486"/>
      <c r="C30" s="493"/>
      <c r="D30" s="494"/>
      <c r="E30" s="489"/>
      <c r="F30" s="2"/>
      <c r="G30" s="2"/>
      <c r="H30" s="2"/>
      <c r="I30" s="2"/>
      <c r="J30" s="2"/>
    </row>
    <row r="31" spans="1:10" x14ac:dyDescent="0.3">
      <c r="A31" s="495" t="s">
        <v>17</v>
      </c>
      <c r="B31" s="496"/>
      <c r="C31" s="482" t="s">
        <v>1</v>
      </c>
      <c r="D31" s="497" t="s">
        <v>2</v>
      </c>
      <c r="E31" s="484"/>
      <c r="F31" s="2"/>
      <c r="G31" s="2"/>
      <c r="H31" s="2"/>
      <c r="I31" s="2"/>
      <c r="J31" s="2"/>
    </row>
    <row r="32" spans="1:10" ht="15.6" x14ac:dyDescent="0.35">
      <c r="A32" s="498" t="s">
        <v>18</v>
      </c>
      <c r="B32" s="499"/>
      <c r="C32" s="500">
        <f>(C8-C13)*COS(RADIANS(Ta))+C12*SIN(RADIANS(Ta))</f>
        <v>2129.7620747962915</v>
      </c>
      <c r="D32" s="501">
        <f>D23-(C13*SIN(RADIANS(Ta))+C12*COS(RADIANS(Ta)))</f>
        <v>1820.4706822026537</v>
      </c>
      <c r="E32" s="489"/>
      <c r="F32" s="2" t="s">
        <v>51</v>
      </c>
      <c r="G32" s="2"/>
      <c r="H32" s="2"/>
      <c r="I32" s="2"/>
      <c r="J32" s="2"/>
    </row>
    <row r="33" spans="1:13" ht="15.6" x14ac:dyDescent="0.35">
      <c r="A33" s="502" t="s">
        <v>19</v>
      </c>
      <c r="B33" s="503"/>
      <c r="C33" s="504">
        <f>C13*COS(RADIANS(Ta))-C12*SIN(RADIANS(Ta))</f>
        <v>374.23473031349101</v>
      </c>
      <c r="D33" s="505">
        <f>D25+C13*SIN(RADIANS(Ta))+C12*COS(RADIANS(Ta))</f>
        <v>5079.5293177973472</v>
      </c>
      <c r="E33" s="489"/>
      <c r="F33" s="2" t="s">
        <v>52</v>
      </c>
      <c r="G33" s="2"/>
      <c r="H33" s="2"/>
      <c r="I33" s="2"/>
      <c r="J33" s="2"/>
    </row>
    <row r="34" spans="1:13" x14ac:dyDescent="0.3">
      <c r="A34" s="506"/>
      <c r="B34" s="507"/>
      <c r="C34" s="508"/>
      <c r="D34" s="2"/>
      <c r="E34" s="459"/>
      <c r="F34" s="2"/>
      <c r="G34" s="2"/>
      <c r="H34" s="2"/>
      <c r="J34" s="2"/>
    </row>
    <row r="35" spans="1:13" x14ac:dyDescent="0.3">
      <c r="A35" s="506"/>
      <c r="B35" s="507"/>
      <c r="C35" s="509"/>
      <c r="D35" s="508"/>
      <c r="E35" s="510"/>
      <c r="F35" s="2"/>
      <c r="G35" s="2"/>
      <c r="H35" s="2"/>
      <c r="I35" s="2" t="s">
        <v>61</v>
      </c>
      <c r="J35" s="2"/>
      <c r="L35" s="511">
        <f>SQRT((C23-C32)^2+(D23-D32)^2)</f>
        <v>608.2762530298221</v>
      </c>
      <c r="M35" s="2" t="s">
        <v>0</v>
      </c>
    </row>
    <row r="36" spans="1:13" x14ac:dyDescent="0.3">
      <c r="A36" s="512"/>
      <c r="B36" s="513"/>
      <c r="C36" s="514"/>
      <c r="D36" s="512"/>
      <c r="E36" s="459"/>
      <c r="F36" s="2"/>
      <c r="H36" s="2"/>
      <c r="I36" s="2"/>
      <c r="J36" s="2"/>
    </row>
    <row r="37" spans="1:13" x14ac:dyDescent="0.3">
      <c r="A37" s="512"/>
      <c r="B37" s="513"/>
      <c r="C37" s="514"/>
      <c r="D37" s="512"/>
      <c r="E37" s="459"/>
      <c r="F37" s="2"/>
      <c r="G37" s="2"/>
      <c r="J37" s="2"/>
    </row>
    <row r="38" spans="1:13" x14ac:dyDescent="0.3">
      <c r="A38" s="512"/>
      <c r="B38" s="513"/>
      <c r="C38" s="514"/>
      <c r="D38" s="512"/>
      <c r="E38" s="459"/>
      <c r="F38" s="2"/>
      <c r="G38" s="2"/>
      <c r="H38" s="2"/>
      <c r="I38" s="2"/>
      <c r="J38" s="2"/>
    </row>
    <row r="39" spans="1:13" x14ac:dyDescent="0.3">
      <c r="A39" s="512"/>
      <c r="B39" s="513"/>
      <c r="C39" s="514"/>
      <c r="D39" s="512"/>
      <c r="E39" s="459"/>
    </row>
    <row r="40" spans="1:13" x14ac:dyDescent="0.3">
      <c r="A40" s="515"/>
      <c r="B40" s="516"/>
      <c r="C40" s="516"/>
      <c r="D40" s="515"/>
    </row>
    <row r="42" spans="1:13" x14ac:dyDescent="0.3">
      <c r="A42" s="506"/>
      <c r="B42" s="507"/>
      <c r="C42" s="509"/>
      <c r="D42" s="509"/>
      <c r="E42" s="517"/>
    </row>
    <row r="43" spans="1:13" x14ac:dyDescent="0.3">
      <c r="A43" s="506"/>
      <c r="B43" s="507"/>
      <c r="C43" s="509"/>
      <c r="D43" s="509"/>
      <c r="E43" s="517"/>
    </row>
  </sheetData>
  <mergeCells count="3">
    <mergeCell ref="A1:M1"/>
    <mergeCell ref="A33:B33"/>
    <mergeCell ref="A31:B31"/>
  </mergeCells>
  <printOptions horizontalCentered="1" verticalCentered="1"/>
  <pageMargins left="0.19685039370078741" right="0.19685039370078741" top="0.39370078740157483" bottom="0.39370078740157483" header="0.31496062992125984" footer="0.31496062992125984"/>
  <pageSetup paperSize="9" scale="94"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8435" r:id="rId4" name="Spinner 3">
              <controlPr defaultSize="0" autoPict="0">
                <anchor moveWithCells="1" sizeWithCells="1">
                  <from>
                    <xdr:col>5</xdr:col>
                    <xdr:colOff>7620</xdr:colOff>
                    <xdr:row>2</xdr:row>
                    <xdr:rowOff>7620</xdr:rowOff>
                  </from>
                  <to>
                    <xdr:col>6</xdr:col>
                    <xdr:colOff>0</xdr:colOff>
                    <xdr:row>4</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U183"/>
  <sheetViews>
    <sheetView tabSelected="1" zoomScale="39" zoomScaleNormal="39" workbookViewId="0">
      <selection activeCell="U55" sqref="U55"/>
    </sheetView>
  </sheetViews>
  <sheetFormatPr baseColWidth="10" defaultColWidth="13.77734375" defaultRowHeight="13.2" x14ac:dyDescent="0.25"/>
  <cols>
    <col min="1" max="1" width="6.6640625" style="203" customWidth="1"/>
    <col min="2" max="5" width="13.77734375" style="203"/>
    <col min="6" max="6" width="13.77734375" style="204"/>
    <col min="7" max="42" width="13.77734375" style="203"/>
    <col min="43" max="55" width="13.77734375" style="248"/>
    <col min="56" max="57" width="13.77734375" style="203"/>
    <col min="58" max="62" width="13.77734375" style="248"/>
    <col min="63" max="63" width="13.77734375" style="203"/>
    <col min="64" max="64" width="13.77734375" style="212"/>
    <col min="65" max="71" width="13.77734375" style="203"/>
    <col min="72" max="85" width="13.77734375" style="202"/>
    <col min="86" max="117" width="13.77734375" style="204"/>
    <col min="118" max="16384" width="13.77734375" style="203"/>
  </cols>
  <sheetData>
    <row r="1" spans="1:125" x14ac:dyDescent="0.25">
      <c r="AD1" s="204"/>
      <c r="AE1" s="204"/>
      <c r="AF1" s="204"/>
      <c r="AG1" s="204"/>
      <c r="AH1" s="204"/>
      <c r="AI1" s="204"/>
      <c r="AJ1" s="204"/>
      <c r="AK1" s="204"/>
      <c r="AL1" s="204"/>
      <c r="AM1" s="204"/>
      <c r="AN1" s="204"/>
      <c r="AO1" s="204"/>
      <c r="AP1" s="204"/>
      <c r="AQ1" s="210"/>
      <c r="AR1" s="210"/>
      <c r="AS1" s="210"/>
      <c r="AT1" s="210"/>
      <c r="AU1" s="210"/>
      <c r="AV1" s="210"/>
      <c r="AW1" s="210"/>
      <c r="AX1" s="210"/>
      <c r="AY1" s="210"/>
      <c r="AZ1" s="210"/>
      <c r="BA1" s="210"/>
      <c r="BB1" s="210"/>
      <c r="BC1" s="210"/>
      <c r="BD1" s="204"/>
      <c r="BE1" s="204"/>
      <c r="BF1" s="210"/>
      <c r="BG1" s="210"/>
      <c r="BH1" s="210"/>
      <c r="BI1" s="210"/>
      <c r="BJ1" s="210"/>
      <c r="BK1" s="204"/>
      <c r="BL1" s="204"/>
      <c r="BM1" s="204"/>
      <c r="BN1" s="204"/>
      <c r="BO1" s="204"/>
      <c r="BP1" s="204"/>
      <c r="BQ1" s="204"/>
      <c r="BR1" s="204"/>
      <c r="BS1" s="204"/>
      <c r="BT1" s="211"/>
      <c r="BU1" s="211"/>
      <c r="BV1" s="211"/>
      <c r="BW1" s="211"/>
      <c r="BX1" s="211"/>
      <c r="BY1" s="211"/>
      <c r="BZ1" s="211"/>
      <c r="CA1" s="211"/>
      <c r="CB1" s="211"/>
      <c r="CC1" s="211"/>
    </row>
    <row r="2" spans="1:125" x14ac:dyDescent="0.25">
      <c r="B2" s="276"/>
      <c r="C2" s="276"/>
      <c r="D2" s="276"/>
      <c r="E2" s="276"/>
      <c r="F2" s="276"/>
      <c r="G2" s="276"/>
      <c r="H2" s="276"/>
      <c r="I2" s="276"/>
      <c r="AF2" s="204"/>
      <c r="AG2" s="204"/>
      <c r="AH2" s="204"/>
      <c r="AI2" s="204"/>
      <c r="AJ2" s="204"/>
      <c r="AK2" s="204"/>
      <c r="AL2" s="204"/>
      <c r="AM2" s="204"/>
      <c r="AN2" s="204"/>
      <c r="AO2" s="204"/>
      <c r="AP2" s="204"/>
      <c r="AQ2" s="210"/>
      <c r="AR2" s="210"/>
      <c r="AS2" s="210"/>
      <c r="AT2" s="210"/>
      <c r="AU2" s="210"/>
      <c r="AV2" s="210"/>
      <c r="AW2" s="210"/>
      <c r="AX2" s="210"/>
      <c r="AY2" s="210"/>
      <c r="AZ2" s="210"/>
      <c r="BA2" s="210"/>
      <c r="BB2" s="210"/>
      <c r="BC2" s="204"/>
      <c r="BD2" s="204"/>
      <c r="BE2" s="204"/>
      <c r="BF2" s="210"/>
      <c r="BG2" s="204"/>
      <c r="BH2" s="204"/>
      <c r="BI2" s="210"/>
      <c r="BJ2" s="204"/>
      <c r="BK2" s="204"/>
      <c r="BL2" s="204"/>
      <c r="BM2" s="211"/>
      <c r="BN2" s="211"/>
      <c r="BO2" s="211"/>
      <c r="BP2" s="211"/>
      <c r="BQ2" s="211"/>
      <c r="BR2" s="211"/>
      <c r="BS2" s="211"/>
      <c r="BT2" s="211"/>
      <c r="BU2" s="211"/>
      <c r="BV2" s="211"/>
      <c r="BW2" s="211"/>
      <c r="BX2" s="211"/>
      <c r="BY2" s="211"/>
      <c r="BZ2" s="211"/>
      <c r="CA2" s="211"/>
      <c r="CB2" s="211"/>
      <c r="CC2" s="211"/>
      <c r="CH2" s="202"/>
      <c r="CI2" s="202"/>
      <c r="CJ2" s="202"/>
      <c r="CK2" s="202"/>
      <c r="CL2" s="202"/>
      <c r="CM2" s="202"/>
      <c r="DN2" s="204"/>
      <c r="DO2" s="204"/>
      <c r="DP2" s="204"/>
      <c r="DQ2" s="204"/>
      <c r="DR2" s="204"/>
      <c r="DS2" s="204"/>
    </row>
    <row r="3" spans="1:125" ht="13.8" thickBot="1" x14ac:dyDescent="0.3">
      <c r="C3" s="276"/>
      <c r="D3" s="276"/>
      <c r="E3" s="276"/>
      <c r="F3" s="276"/>
      <c r="G3" s="276"/>
      <c r="H3" s="276"/>
      <c r="I3" s="220"/>
      <c r="J3" s="220"/>
      <c r="K3" s="220"/>
      <c r="L3" s="220"/>
      <c r="M3" s="220"/>
      <c r="N3" s="220"/>
      <c r="AF3" s="204"/>
      <c r="AG3" s="204"/>
      <c r="AH3" s="204"/>
      <c r="AI3" s="204"/>
      <c r="AJ3" s="204"/>
      <c r="AK3" s="204"/>
      <c r="AL3" s="204"/>
      <c r="AM3" s="204"/>
      <c r="AN3" s="204"/>
      <c r="AO3" s="204"/>
      <c r="AP3" s="204"/>
      <c r="AQ3" s="210"/>
      <c r="AR3" s="210"/>
      <c r="AS3" s="210"/>
      <c r="AT3" s="210"/>
      <c r="AU3" s="210"/>
      <c r="BM3" s="211"/>
      <c r="BN3" s="211"/>
      <c r="BO3" s="211"/>
      <c r="BP3" s="211"/>
      <c r="BQ3" s="211"/>
      <c r="BR3" s="211"/>
      <c r="BS3" s="211"/>
      <c r="BT3" s="211"/>
      <c r="BU3" s="211"/>
      <c r="BV3" s="211"/>
      <c r="BW3" s="211"/>
      <c r="BX3" s="211"/>
      <c r="BY3" s="211"/>
      <c r="BZ3" s="211"/>
      <c r="CA3" s="211"/>
      <c r="CB3" s="211"/>
      <c r="CC3" s="211"/>
      <c r="CH3" s="202"/>
      <c r="CI3" s="202"/>
      <c r="CJ3" s="202"/>
      <c r="CK3" s="202"/>
      <c r="CL3" s="202"/>
      <c r="CM3" s="202"/>
      <c r="DN3" s="204"/>
      <c r="DO3" s="204"/>
      <c r="DP3" s="204"/>
      <c r="DQ3" s="204"/>
      <c r="DR3" s="204"/>
      <c r="DS3" s="204"/>
    </row>
    <row r="4" spans="1:125" ht="15" customHeight="1" thickBot="1" x14ac:dyDescent="0.3">
      <c r="B4" s="375" t="s">
        <v>213</v>
      </c>
      <c r="C4" s="376"/>
      <c r="D4" s="376"/>
      <c r="E4" s="376"/>
      <c r="F4" s="377"/>
      <c r="H4" s="362" t="s">
        <v>210</v>
      </c>
      <c r="I4" s="363"/>
      <c r="J4" s="363"/>
      <c r="K4" s="363"/>
      <c r="L4" s="363"/>
      <c r="M4" s="363"/>
      <c r="N4" s="363"/>
      <c r="O4" s="364"/>
      <c r="Q4" s="362" t="s">
        <v>324</v>
      </c>
      <c r="R4" s="363"/>
      <c r="S4" s="363"/>
      <c r="T4" s="363"/>
      <c r="U4" s="363"/>
      <c r="V4" s="363"/>
      <c r="W4" s="363"/>
      <c r="X4" s="363"/>
      <c r="Y4" s="363"/>
      <c r="Z4" s="363"/>
      <c r="AA4" s="363"/>
      <c r="AB4" s="364"/>
      <c r="AC4" s="362" t="s">
        <v>209</v>
      </c>
      <c r="AD4" s="363"/>
      <c r="AE4" s="363"/>
      <c r="AF4" s="364"/>
      <c r="AT4" s="210"/>
      <c r="BM4" s="211"/>
      <c r="BN4" s="211"/>
      <c r="BO4" s="211"/>
      <c r="BP4" s="211"/>
      <c r="BQ4" s="211"/>
      <c r="BR4" s="211"/>
      <c r="BS4" s="211"/>
      <c r="BT4" s="211"/>
      <c r="BU4" s="211"/>
      <c r="BV4" s="211"/>
      <c r="BW4" s="211"/>
      <c r="BX4" s="211"/>
      <c r="BY4" s="211"/>
      <c r="BZ4" s="211"/>
      <c r="CA4" s="211"/>
      <c r="CB4" s="211"/>
      <c r="CC4" s="211"/>
      <c r="CH4" s="202"/>
      <c r="CI4" s="202"/>
      <c r="CJ4" s="202"/>
      <c r="CK4" s="202"/>
      <c r="CL4" s="202"/>
      <c r="CM4" s="202"/>
      <c r="DN4" s="204"/>
      <c r="DO4" s="204"/>
      <c r="DP4" s="204"/>
      <c r="DQ4" s="204"/>
      <c r="DR4" s="204"/>
      <c r="DS4" s="204"/>
    </row>
    <row r="5" spans="1:125" ht="14.4" customHeight="1" x14ac:dyDescent="0.25">
      <c r="B5" s="325" t="s">
        <v>217</v>
      </c>
      <c r="C5" s="326" t="s">
        <v>215</v>
      </c>
      <c r="D5" s="327" t="s">
        <v>216</v>
      </c>
      <c r="E5" s="371" t="s">
        <v>218</v>
      </c>
      <c r="F5" s="372"/>
      <c r="H5" s="366" t="s">
        <v>211</v>
      </c>
      <c r="I5" s="367"/>
      <c r="J5" s="366" t="s">
        <v>212</v>
      </c>
      <c r="K5" s="367"/>
      <c r="L5" s="367"/>
      <c r="M5" s="367"/>
      <c r="N5" s="367"/>
      <c r="O5" s="368"/>
      <c r="Q5" s="369" t="s">
        <v>272</v>
      </c>
      <c r="R5" s="370"/>
      <c r="S5" s="369" t="s">
        <v>273</v>
      </c>
      <c r="T5" s="370"/>
      <c r="U5" s="369" t="s">
        <v>274</v>
      </c>
      <c r="V5" s="370"/>
      <c r="W5" s="369" t="s">
        <v>275</v>
      </c>
      <c r="X5" s="370"/>
      <c r="Y5" s="369" t="s">
        <v>232</v>
      </c>
      <c r="Z5" s="370"/>
      <c r="AA5" s="369" t="s">
        <v>233</v>
      </c>
      <c r="AB5" s="370"/>
      <c r="AC5" s="373" t="s">
        <v>222</v>
      </c>
      <c r="AD5" s="374"/>
      <c r="AE5" s="373" t="s">
        <v>223</v>
      </c>
      <c r="AF5" s="374"/>
      <c r="BN5" s="204"/>
      <c r="BO5" s="204"/>
      <c r="BP5" s="204"/>
      <c r="BQ5" s="204"/>
      <c r="BR5" s="204"/>
      <c r="BS5" s="204"/>
      <c r="BT5" s="204"/>
      <c r="BU5" s="204"/>
      <c r="BV5" s="204"/>
      <c r="BW5" s="204"/>
      <c r="BX5" s="204"/>
      <c r="BY5" s="204"/>
      <c r="BZ5" s="204"/>
      <c r="CA5" s="211"/>
      <c r="CB5" s="211"/>
      <c r="CC5" s="211"/>
      <c r="CH5" s="202"/>
      <c r="CI5" s="202"/>
      <c r="CJ5" s="202"/>
      <c r="CK5" s="202"/>
      <c r="CL5" s="202"/>
      <c r="CM5" s="202"/>
      <c r="CN5" s="202"/>
      <c r="DN5" s="204"/>
      <c r="DO5" s="204"/>
      <c r="DP5" s="204"/>
      <c r="DQ5" s="204"/>
      <c r="DR5" s="204"/>
      <c r="DS5" s="204"/>
      <c r="DT5" s="204"/>
    </row>
    <row r="6" spans="1:125" ht="12.75" customHeight="1" x14ac:dyDescent="0.25">
      <c r="A6" s="212"/>
      <c r="B6" s="281" t="s">
        <v>198</v>
      </c>
      <c r="C6" s="305" t="s">
        <v>199</v>
      </c>
      <c r="D6" s="328" t="s">
        <v>200</v>
      </c>
      <c r="E6" s="281" t="s">
        <v>181</v>
      </c>
      <c r="F6" s="282" t="s">
        <v>180</v>
      </c>
      <c r="H6" s="213" t="s">
        <v>201</v>
      </c>
      <c r="I6" s="291" t="s">
        <v>219</v>
      </c>
      <c r="J6" s="293" t="s">
        <v>202</v>
      </c>
      <c r="K6" s="215" t="s">
        <v>203</v>
      </c>
      <c r="L6" s="214" t="s">
        <v>204</v>
      </c>
      <c r="M6" s="214" t="s">
        <v>205</v>
      </c>
      <c r="N6" s="279" t="s">
        <v>206</v>
      </c>
      <c r="O6" s="280" t="s">
        <v>207</v>
      </c>
      <c r="Q6" s="281" t="s">
        <v>312</v>
      </c>
      <c r="R6" s="282" t="s">
        <v>313</v>
      </c>
      <c r="S6" s="281" t="s">
        <v>314</v>
      </c>
      <c r="T6" s="282" t="s">
        <v>315</v>
      </c>
      <c r="U6" s="281" t="s">
        <v>316</v>
      </c>
      <c r="V6" s="282" t="s">
        <v>317</v>
      </c>
      <c r="W6" s="281" t="s">
        <v>318</v>
      </c>
      <c r="X6" s="282" t="s">
        <v>319</v>
      </c>
      <c r="Y6" s="281" t="s">
        <v>320</v>
      </c>
      <c r="Z6" s="282" t="s">
        <v>321</v>
      </c>
      <c r="AA6" s="281" t="s">
        <v>322</v>
      </c>
      <c r="AB6" s="282" t="s">
        <v>323</v>
      </c>
      <c r="AC6" s="281" t="s">
        <v>325</v>
      </c>
      <c r="AD6" s="282" t="s">
        <v>326</v>
      </c>
      <c r="AE6" s="283" t="s">
        <v>327</v>
      </c>
      <c r="AF6" s="284" t="s">
        <v>328</v>
      </c>
      <c r="AT6" s="216"/>
      <c r="BM6" s="216"/>
      <c r="BN6" s="216"/>
      <c r="BO6" s="216"/>
      <c r="BP6" s="216"/>
      <c r="BQ6" s="216"/>
      <c r="BR6" s="216"/>
      <c r="BS6" s="216"/>
      <c r="BT6" s="216"/>
      <c r="BU6" s="216"/>
      <c r="BV6" s="216"/>
      <c r="BW6" s="216"/>
      <c r="BX6" s="216"/>
      <c r="BY6" s="216"/>
      <c r="BZ6" s="216"/>
      <c r="CA6" s="211"/>
      <c r="CB6" s="211"/>
      <c r="CC6" s="211"/>
      <c r="CH6" s="202"/>
      <c r="CI6" s="202"/>
      <c r="CJ6" s="202"/>
      <c r="CK6" s="202"/>
      <c r="CL6" s="202"/>
      <c r="CM6" s="202"/>
      <c r="CN6" s="202"/>
      <c r="CO6" s="216"/>
      <c r="CP6" s="216"/>
      <c r="CQ6" s="216"/>
      <c r="CR6" s="216"/>
      <c r="CS6" s="216"/>
      <c r="CT6" s="216"/>
      <c r="CU6" s="216"/>
      <c r="CV6" s="216"/>
      <c r="CW6" s="216"/>
      <c r="CX6" s="216"/>
      <c r="CY6" s="216"/>
      <c r="CZ6" s="216"/>
      <c r="DA6" s="216"/>
      <c r="DB6" s="216"/>
      <c r="DC6" s="216"/>
      <c r="DN6" s="204"/>
      <c r="DO6" s="204"/>
      <c r="DP6" s="204"/>
      <c r="DQ6" s="204"/>
      <c r="DR6" s="204"/>
      <c r="DS6" s="204"/>
      <c r="DT6" s="204"/>
    </row>
    <row r="7" spans="1:125" ht="12.75" customHeight="1" thickBot="1" x14ac:dyDescent="0.3">
      <c r="A7" s="212"/>
      <c r="B7" s="287">
        <v>1700</v>
      </c>
      <c r="C7" s="329">
        <v>1700</v>
      </c>
      <c r="D7" s="330">
        <v>1700</v>
      </c>
      <c r="E7" s="287">
        <v>600</v>
      </c>
      <c r="F7" s="288">
        <v>8900</v>
      </c>
      <c r="H7" s="217">
        <v>-1000</v>
      </c>
      <c r="I7" s="292">
        <v>-1200</v>
      </c>
      <c r="J7" s="294">
        <v>-293</v>
      </c>
      <c r="K7" s="278">
        <v>-277</v>
      </c>
      <c r="L7" s="277">
        <v>-277</v>
      </c>
      <c r="M7" s="277">
        <v>-277</v>
      </c>
      <c r="N7" s="285">
        <v>-285</v>
      </c>
      <c r="O7" s="286">
        <v>-284</v>
      </c>
      <c r="Q7" s="287">
        <v>1700</v>
      </c>
      <c r="R7" s="298">
        <v>0</v>
      </c>
      <c r="S7" s="287">
        <v>1700</v>
      </c>
      <c r="T7" s="298">
        <v>0</v>
      </c>
      <c r="U7" s="287">
        <v>1700</v>
      </c>
      <c r="V7" s="298">
        <v>0</v>
      </c>
      <c r="W7" s="287">
        <v>1700</v>
      </c>
      <c r="X7" s="298">
        <v>0</v>
      </c>
      <c r="Y7" s="287">
        <v>1700</v>
      </c>
      <c r="Z7" s="298">
        <v>0</v>
      </c>
      <c r="AA7" s="287">
        <v>1700</v>
      </c>
      <c r="AB7" s="298">
        <v>0</v>
      </c>
      <c r="AC7" s="287">
        <v>600</v>
      </c>
      <c r="AD7" s="288">
        <v>100</v>
      </c>
      <c r="AE7" s="289">
        <v>2800</v>
      </c>
      <c r="AF7" s="290">
        <v>-100</v>
      </c>
      <c r="AT7" s="216"/>
      <c r="BH7" s="216"/>
      <c r="BI7" s="216"/>
      <c r="BJ7" s="216"/>
      <c r="BK7" s="216"/>
      <c r="BL7" s="216"/>
      <c r="BM7" s="216"/>
      <c r="BN7" s="216"/>
      <c r="BO7" s="216"/>
      <c r="BP7" s="216"/>
      <c r="BQ7" s="216"/>
      <c r="BR7" s="216"/>
      <c r="BS7" s="216"/>
      <c r="BT7" s="216"/>
      <c r="BU7" s="216"/>
      <c r="BV7" s="216"/>
      <c r="BW7" s="216"/>
      <c r="BX7" s="216"/>
      <c r="BY7" s="216"/>
      <c r="BZ7" s="216"/>
      <c r="CA7" s="211"/>
      <c r="CB7" s="211"/>
      <c r="CC7" s="211"/>
      <c r="CH7" s="202"/>
      <c r="CI7" s="202"/>
      <c r="CJ7" s="202"/>
      <c r="CK7" s="202"/>
      <c r="CL7" s="202"/>
      <c r="CM7" s="202"/>
      <c r="CN7" s="202"/>
      <c r="CO7" s="202"/>
      <c r="CP7" s="216"/>
      <c r="CQ7" s="216"/>
      <c r="CR7" s="216"/>
      <c r="CS7" s="216"/>
      <c r="CT7" s="216"/>
      <c r="CU7" s="216"/>
      <c r="CV7" s="216"/>
      <c r="CW7" s="216"/>
      <c r="CX7" s="216"/>
      <c r="CY7" s="216"/>
      <c r="CZ7" s="216"/>
      <c r="DA7" s="216"/>
      <c r="DB7" s="216"/>
      <c r="DC7" s="216"/>
      <c r="DD7" s="216"/>
      <c r="DN7" s="204"/>
      <c r="DO7" s="204"/>
      <c r="DP7" s="204"/>
      <c r="DQ7" s="204"/>
      <c r="DR7" s="204"/>
      <c r="DS7" s="204"/>
      <c r="DT7" s="204"/>
      <c r="DU7" s="204"/>
    </row>
    <row r="8" spans="1:125" x14ac:dyDescent="0.25">
      <c r="B8" s="331" t="s">
        <v>214</v>
      </c>
      <c r="C8" s="332"/>
      <c r="D8" s="332"/>
      <c r="E8" s="332"/>
      <c r="F8" s="332"/>
      <c r="G8" s="204"/>
      <c r="P8" s="204"/>
      <c r="Q8" s="295" t="s">
        <v>221</v>
      </c>
      <c r="R8" s="204"/>
      <c r="S8" s="204"/>
      <c r="T8" s="219"/>
      <c r="U8" s="218"/>
      <c r="V8" s="218"/>
      <c r="W8" s="218"/>
      <c r="X8" s="218"/>
      <c r="Y8" s="218"/>
      <c r="Z8" s="218"/>
      <c r="AA8" s="218"/>
      <c r="AB8" s="218"/>
      <c r="AC8" s="218"/>
      <c r="AD8" s="218"/>
      <c r="AE8" s="218"/>
      <c r="AF8" s="216"/>
      <c r="AG8" s="216"/>
      <c r="AH8" s="216"/>
      <c r="AI8" s="216"/>
      <c r="AJ8" s="216"/>
      <c r="AK8" s="216"/>
      <c r="AL8" s="216"/>
      <c r="AM8" s="216"/>
      <c r="AN8" s="216"/>
      <c r="AO8" s="216"/>
      <c r="AP8" s="216"/>
      <c r="AQ8" s="216"/>
      <c r="AR8" s="216"/>
      <c r="AS8" s="216"/>
      <c r="AT8" s="216"/>
      <c r="BH8" s="216"/>
      <c r="BI8" s="216"/>
      <c r="BJ8" s="216"/>
      <c r="BK8" s="216"/>
      <c r="BL8" s="216"/>
      <c r="BM8" s="216"/>
      <c r="BN8" s="216"/>
      <c r="BO8" s="216"/>
      <c r="BP8" s="216"/>
      <c r="BQ8" s="216"/>
      <c r="BR8" s="216"/>
      <c r="BS8" s="216"/>
      <c r="BT8" s="216"/>
      <c r="BU8" s="216"/>
      <c r="BV8" s="216"/>
      <c r="BW8" s="216"/>
      <c r="BX8" s="216"/>
      <c r="BY8" s="216"/>
      <c r="BZ8" s="216"/>
      <c r="CA8" s="211"/>
      <c r="CB8" s="211"/>
      <c r="CC8" s="211"/>
      <c r="CH8" s="202"/>
      <c r="CI8" s="202"/>
      <c r="CJ8" s="202"/>
      <c r="CK8" s="202"/>
      <c r="CL8" s="202"/>
      <c r="CM8" s="202"/>
      <c r="CN8" s="202"/>
      <c r="CO8" s="202"/>
      <c r="CP8" s="216"/>
      <c r="CQ8" s="216"/>
      <c r="CR8" s="216"/>
      <c r="CS8" s="216"/>
      <c r="CT8" s="216"/>
      <c r="CU8" s="216"/>
      <c r="CV8" s="216"/>
      <c r="CW8" s="216"/>
      <c r="CX8" s="216"/>
      <c r="CY8" s="216"/>
      <c r="CZ8" s="216"/>
      <c r="DA8" s="216"/>
      <c r="DB8" s="216"/>
      <c r="DC8" s="216"/>
      <c r="DD8" s="216"/>
      <c r="DN8" s="204"/>
      <c r="DO8" s="204"/>
      <c r="DP8" s="204"/>
      <c r="DQ8" s="204"/>
      <c r="DR8" s="204"/>
      <c r="DS8" s="204"/>
      <c r="DT8" s="204"/>
      <c r="DU8" s="204"/>
    </row>
    <row r="9" spans="1:125" ht="13.5" customHeight="1" x14ac:dyDescent="0.25">
      <c r="BH9" s="216"/>
      <c r="BI9" s="216"/>
      <c r="BJ9" s="216"/>
      <c r="BK9" s="216"/>
      <c r="BL9" s="216"/>
      <c r="BM9" s="216"/>
      <c r="BN9" s="216"/>
      <c r="BO9" s="216"/>
      <c r="BP9" s="216"/>
      <c r="BQ9" s="216"/>
      <c r="BR9" s="216"/>
      <c r="BS9" s="216"/>
      <c r="BT9" s="216"/>
      <c r="CH9" s="202"/>
      <c r="CJ9" s="223"/>
      <c r="CK9" s="223"/>
      <c r="CL9" s="223"/>
      <c r="CM9" s="223"/>
      <c r="CN9" s="223"/>
      <c r="CO9" s="223"/>
      <c r="CQ9" s="223"/>
      <c r="CR9" s="223"/>
      <c r="CS9" s="223"/>
      <c r="CT9" s="223"/>
      <c r="CU9" s="223"/>
      <c r="CV9" s="223"/>
      <c r="CW9" s="216"/>
      <c r="CX9" s="220"/>
      <c r="CY9" s="220"/>
      <c r="CZ9" s="220"/>
      <c r="DA9" s="220"/>
      <c r="DB9" s="220"/>
      <c r="DN9" s="204"/>
    </row>
    <row r="10" spans="1:125" ht="13.5" customHeight="1" thickBot="1" x14ac:dyDescent="0.3">
      <c r="B10" s="365" t="s">
        <v>224</v>
      </c>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c r="AW10" s="365"/>
      <c r="AX10" s="365"/>
      <c r="AY10" s="365"/>
      <c r="AZ10" s="365"/>
      <c r="BA10" s="365"/>
      <c r="BB10" s="365"/>
      <c r="BC10" s="365"/>
      <c r="BD10" s="365"/>
      <c r="BE10" s="365"/>
      <c r="BF10" s="365"/>
      <c r="BG10" s="365"/>
      <c r="BH10" s="216"/>
      <c r="BI10" s="216"/>
      <c r="BJ10" s="216"/>
      <c r="BK10" s="216"/>
      <c r="BL10" s="216"/>
      <c r="BM10" s="216"/>
      <c r="BN10" s="216"/>
      <c r="BO10" s="216"/>
      <c r="BP10" s="216"/>
      <c r="BQ10" s="216"/>
      <c r="BR10" s="216"/>
      <c r="BS10" s="216"/>
      <c r="BT10" s="216"/>
      <c r="CH10" s="202"/>
      <c r="CJ10" s="223"/>
      <c r="CK10" s="223"/>
      <c r="CL10" s="223"/>
      <c r="CM10" s="223"/>
      <c r="CN10" s="223"/>
      <c r="CO10" s="223"/>
      <c r="CQ10" s="223"/>
      <c r="CR10" s="223"/>
      <c r="CS10" s="223"/>
      <c r="CT10" s="223"/>
      <c r="CU10" s="223"/>
      <c r="CV10" s="223"/>
      <c r="CW10" s="216"/>
      <c r="CX10" s="220"/>
      <c r="CY10" s="220"/>
      <c r="CZ10" s="220"/>
      <c r="DA10" s="220"/>
      <c r="DB10" s="220"/>
      <c r="DN10" s="204"/>
    </row>
    <row r="11" spans="1:125" ht="13.5" customHeight="1" x14ac:dyDescent="0.25">
      <c r="B11" s="296" t="s">
        <v>33</v>
      </c>
      <c r="C11" s="297" t="s">
        <v>131</v>
      </c>
      <c r="D11" s="247" t="s">
        <v>130</v>
      </c>
      <c r="E11" s="225"/>
      <c r="F11" s="361" t="s">
        <v>129</v>
      </c>
      <c r="G11" s="360"/>
      <c r="H11" s="360" t="s">
        <v>128</v>
      </c>
      <c r="I11" s="360"/>
      <c r="J11" s="360" t="s">
        <v>127</v>
      </c>
      <c r="K11" s="360"/>
      <c r="L11" s="361" t="s">
        <v>126</v>
      </c>
      <c r="M11" s="360"/>
      <c r="N11" s="360" t="s">
        <v>227</v>
      </c>
      <c r="O11" s="360"/>
      <c r="P11" s="360" t="s">
        <v>225</v>
      </c>
      <c r="Q11" s="360"/>
      <c r="R11" s="360" t="s">
        <v>125</v>
      </c>
      <c r="S11" s="360"/>
      <c r="T11" s="360" t="s">
        <v>226</v>
      </c>
      <c r="U11" s="360"/>
      <c r="V11" s="360" t="s">
        <v>229</v>
      </c>
      <c r="W11" s="360"/>
      <c r="X11" s="360" t="s">
        <v>240</v>
      </c>
      <c r="Y11" s="360"/>
      <c r="Z11" s="360" t="s">
        <v>231</v>
      </c>
      <c r="AA11" s="360"/>
      <c r="AB11" s="360" t="s">
        <v>228</v>
      </c>
      <c r="AC11" s="360"/>
      <c r="AD11" s="383" t="s">
        <v>230</v>
      </c>
      <c r="AE11" s="384"/>
      <c r="AF11" s="384"/>
      <c r="AG11" s="384"/>
      <c r="AH11" s="384"/>
      <c r="AI11" s="385"/>
      <c r="AJ11" s="227"/>
      <c r="AK11" s="381" t="s">
        <v>113</v>
      </c>
      <c r="AL11" s="382"/>
      <c r="AM11" s="378" t="s">
        <v>279</v>
      </c>
      <c r="AN11" s="382"/>
      <c r="AO11" s="247" t="s">
        <v>116</v>
      </c>
      <c r="AP11" s="378" t="s">
        <v>282</v>
      </c>
      <c r="AQ11" s="382"/>
      <c r="AR11" s="378" t="s">
        <v>304</v>
      </c>
      <c r="AS11" s="382"/>
      <c r="AT11" s="378" t="s">
        <v>305</v>
      </c>
      <c r="AU11" s="380"/>
      <c r="AV11" s="378" t="s">
        <v>276</v>
      </c>
      <c r="AW11" s="380"/>
      <c r="AX11" s="380"/>
      <c r="AY11" s="382"/>
      <c r="AZ11" s="378" t="s">
        <v>290</v>
      </c>
      <c r="BA11" s="380"/>
      <c r="BB11" s="378" t="s">
        <v>294</v>
      </c>
      <c r="BC11" s="380"/>
      <c r="BD11" s="378" t="s">
        <v>299</v>
      </c>
      <c r="BE11" s="380"/>
      <c r="BF11" s="378" t="s">
        <v>293</v>
      </c>
      <c r="BG11" s="379"/>
      <c r="BH11" s="202"/>
      <c r="BI11" s="333" t="s">
        <v>112</v>
      </c>
      <c r="BJ11" s="334" t="s">
        <v>111</v>
      </c>
      <c r="BK11" s="334" t="s">
        <v>112</v>
      </c>
      <c r="BL11" s="335" t="s">
        <v>111</v>
      </c>
      <c r="BP11" s="216"/>
      <c r="BU11" s="216"/>
      <c r="BV11" s="216"/>
      <c r="BW11" s="216"/>
      <c r="BX11" s="216"/>
      <c r="BY11" s="216"/>
      <c r="CH11" s="202"/>
      <c r="CI11" s="202"/>
      <c r="CJ11" s="202"/>
      <c r="CK11" s="202"/>
      <c r="CL11" s="202"/>
      <c r="CM11" s="202"/>
      <c r="CO11" s="223"/>
      <c r="CP11" s="223"/>
      <c r="CQ11" s="223"/>
      <c r="CR11" s="223"/>
      <c r="CS11" s="223"/>
      <c r="CT11" s="223"/>
      <c r="CV11" s="223"/>
      <c r="CW11" s="223"/>
      <c r="CX11" s="223"/>
      <c r="CY11" s="223"/>
      <c r="CZ11" s="223"/>
      <c r="DA11" s="223"/>
      <c r="DB11" s="216"/>
      <c r="DC11" s="220"/>
      <c r="DD11" s="220"/>
      <c r="DE11" s="220"/>
      <c r="DF11" s="220"/>
      <c r="DG11" s="220"/>
      <c r="DN11" s="204"/>
      <c r="DO11" s="204"/>
      <c r="DP11" s="204"/>
      <c r="DQ11" s="204"/>
      <c r="DR11" s="204"/>
      <c r="DS11" s="204"/>
    </row>
    <row r="12" spans="1:125" ht="13.5" customHeight="1" x14ac:dyDescent="0.25">
      <c r="B12" s="304" t="s">
        <v>110</v>
      </c>
      <c r="C12" s="301" t="s">
        <v>220</v>
      </c>
      <c r="D12" s="230" t="s">
        <v>208</v>
      </c>
      <c r="E12" s="225"/>
      <c r="F12" s="304" t="s">
        <v>107</v>
      </c>
      <c r="G12" s="301" t="s">
        <v>106</v>
      </c>
      <c r="H12" s="230" t="s">
        <v>105</v>
      </c>
      <c r="I12" s="230" t="s">
        <v>104</v>
      </c>
      <c r="J12" s="230" t="s">
        <v>103</v>
      </c>
      <c r="K12" s="230" t="s">
        <v>102</v>
      </c>
      <c r="L12" s="229" t="s">
        <v>101</v>
      </c>
      <c r="M12" s="230" t="s">
        <v>100</v>
      </c>
      <c r="N12" s="230" t="s">
        <v>236</v>
      </c>
      <c r="O12" s="230" t="s">
        <v>237</v>
      </c>
      <c r="P12" s="230" t="s">
        <v>241</v>
      </c>
      <c r="Q12" s="230" t="s">
        <v>242</v>
      </c>
      <c r="R12" s="230" t="s">
        <v>99</v>
      </c>
      <c r="S12" s="230" t="s">
        <v>98</v>
      </c>
      <c r="T12" s="301" t="s">
        <v>234</v>
      </c>
      <c r="U12" s="301" t="s">
        <v>235</v>
      </c>
      <c r="V12" s="301" t="s">
        <v>164</v>
      </c>
      <c r="W12" s="301" t="s">
        <v>163</v>
      </c>
      <c r="X12" s="301" t="s">
        <v>243</v>
      </c>
      <c r="Y12" s="301" t="s">
        <v>244</v>
      </c>
      <c r="Z12" s="301" t="s">
        <v>238</v>
      </c>
      <c r="AA12" s="301" t="s">
        <v>239</v>
      </c>
      <c r="AB12" s="301" t="s">
        <v>245</v>
      </c>
      <c r="AC12" s="301" t="s">
        <v>246</v>
      </c>
      <c r="AD12" s="301" t="s">
        <v>91</v>
      </c>
      <c r="AE12" s="301" t="s">
        <v>90</v>
      </c>
      <c r="AF12" s="526" t="s">
        <v>89</v>
      </c>
      <c r="AG12" s="527" t="s">
        <v>88</v>
      </c>
      <c r="AH12" s="526" t="s">
        <v>310</v>
      </c>
      <c r="AI12" s="527" t="s">
        <v>311</v>
      </c>
      <c r="AJ12" s="227"/>
      <c r="AK12" s="229" t="s">
        <v>72</v>
      </c>
      <c r="AL12" s="230" t="s">
        <v>71</v>
      </c>
      <c r="AM12" s="230" t="s">
        <v>277</v>
      </c>
      <c r="AN12" s="230" t="s">
        <v>278</v>
      </c>
      <c r="AO12" s="230" t="s">
        <v>287</v>
      </c>
      <c r="AP12" s="230" t="s">
        <v>280</v>
      </c>
      <c r="AQ12" s="230" t="s">
        <v>281</v>
      </c>
      <c r="AR12" s="230" t="s">
        <v>308</v>
      </c>
      <c r="AS12" s="230" t="s">
        <v>309</v>
      </c>
      <c r="AT12" s="230" t="s">
        <v>306</v>
      </c>
      <c r="AU12" s="230" t="s">
        <v>307</v>
      </c>
      <c r="AV12" s="230" t="s">
        <v>302</v>
      </c>
      <c r="AW12" s="230" t="s">
        <v>303</v>
      </c>
      <c r="AX12" s="230" t="s">
        <v>301</v>
      </c>
      <c r="AY12" s="230" t="s">
        <v>300</v>
      </c>
      <c r="AZ12" s="230" t="s">
        <v>283</v>
      </c>
      <c r="BA12" s="230" t="s">
        <v>284</v>
      </c>
      <c r="BB12" s="230" t="s">
        <v>289</v>
      </c>
      <c r="BC12" s="230" t="s">
        <v>288</v>
      </c>
      <c r="BD12" s="230" t="s">
        <v>296</v>
      </c>
      <c r="BE12" s="230" t="s">
        <v>297</v>
      </c>
      <c r="BF12" s="232" t="s">
        <v>285</v>
      </c>
      <c r="BG12" s="231" t="s">
        <v>286</v>
      </c>
      <c r="BH12" s="202"/>
      <c r="BI12" s="304" t="s">
        <v>270</v>
      </c>
      <c r="BJ12" s="301" t="s">
        <v>69</v>
      </c>
      <c r="BK12" s="301" t="s">
        <v>68</v>
      </c>
      <c r="BL12" s="336" t="s">
        <v>67</v>
      </c>
      <c r="BP12" s="216"/>
      <c r="BU12" s="216"/>
      <c r="BV12" s="216"/>
      <c r="BW12" s="216"/>
      <c r="BX12" s="216"/>
      <c r="BY12" s="216"/>
      <c r="CH12" s="202"/>
      <c r="CI12" s="202"/>
      <c r="CJ12" s="202"/>
      <c r="CK12" s="202"/>
      <c r="CL12" s="202"/>
      <c r="CM12" s="202"/>
      <c r="CO12" s="223"/>
      <c r="CP12" s="223"/>
      <c r="CQ12" s="223"/>
      <c r="CR12" s="223"/>
      <c r="CS12" s="223"/>
      <c r="CT12" s="223"/>
      <c r="CV12" s="223"/>
      <c r="CW12" s="223"/>
      <c r="CX12" s="223"/>
      <c r="CY12" s="223"/>
      <c r="CZ12" s="223"/>
      <c r="DA12" s="223"/>
      <c r="DB12" s="216"/>
      <c r="DC12" s="220"/>
      <c r="DD12" s="220"/>
      <c r="DE12" s="220"/>
      <c r="DF12" s="220"/>
      <c r="DG12" s="220"/>
      <c r="DN12" s="204"/>
      <c r="DO12" s="204"/>
      <c r="DP12" s="204"/>
      <c r="DQ12" s="204"/>
      <c r="DR12" s="204"/>
      <c r="DS12" s="204"/>
    </row>
    <row r="13" spans="1:125" s="307" customFormat="1" ht="13.5" customHeight="1" thickBot="1" x14ac:dyDescent="0.35">
      <c r="B13" s="344">
        <v>8900</v>
      </c>
      <c r="C13" s="313">
        <f>SQRT(($AB$13-$Z$13)^2+($AA$13-$AC$13)^2)</f>
        <v>4297.037866840993</v>
      </c>
      <c r="D13" s="309">
        <f>SQRT(BF13^2+BG13^2)</f>
        <v>151163.87215557575</v>
      </c>
      <c r="E13" s="310"/>
      <c r="F13" s="337">
        <f>2*$T$13</f>
        <v>1660.9903337734656</v>
      </c>
      <c r="G13" s="311">
        <f xml:space="preserve"> PP/3</f>
        <v>2966.6666666666665</v>
      </c>
      <c r="H13" s="308">
        <f>2*$T$13</f>
        <v>1660.9903337734656</v>
      </c>
      <c r="I13" s="308">
        <f>0</f>
        <v>0</v>
      </c>
      <c r="J13" s="308">
        <f>0</f>
        <v>0</v>
      </c>
      <c r="K13" s="312">
        <f>G13</f>
        <v>2966.6666666666665</v>
      </c>
      <c r="L13" s="308">
        <f>2*$T$13</f>
        <v>1660.9903337734656</v>
      </c>
      <c r="M13" s="308">
        <f>4*PP/6</f>
        <v>5933.333333333333</v>
      </c>
      <c r="N13" s="308">
        <f>0</f>
        <v>0</v>
      </c>
      <c r="O13" s="308">
        <f>M13</f>
        <v>5933.333333333333</v>
      </c>
      <c r="P13" s="308">
        <f>2*$T$13</f>
        <v>1660.9903337734656</v>
      </c>
      <c r="Q13" s="312">
        <f>PP</f>
        <v>8900</v>
      </c>
      <c r="R13" s="308">
        <f>0</f>
        <v>0</v>
      </c>
      <c r="S13" s="312">
        <f>PP</f>
        <v>8900</v>
      </c>
      <c r="T13" s="313">
        <f>SQRT((6*AI)^2-PP^2)/6</f>
        <v>830.49516688673282</v>
      </c>
      <c r="U13" s="313">
        <f>PP/6</f>
        <v>1483.3333333333333</v>
      </c>
      <c r="V13" s="311">
        <f>T13</f>
        <v>830.49516688673282</v>
      </c>
      <c r="W13" s="311">
        <f>PP/2</f>
        <v>4450</v>
      </c>
      <c r="X13" s="311">
        <f>T13</f>
        <v>830.49516688673282</v>
      </c>
      <c r="Y13" s="311">
        <f>PP*5/6</f>
        <v>7416.666666666667</v>
      </c>
      <c r="Z13" s="311">
        <f>a*T13/AI- b*U13/AI</f>
        <v>205.86103929335667</v>
      </c>
      <c r="AA13" s="311">
        <f>O13+a*U13/AI + b*T13/AI</f>
        <v>6505.7154019737281</v>
      </c>
      <c r="AB13" s="311">
        <f>(2*AI-a)*T13/AI+ b*U13/AI</f>
        <v>1455.1292944801089</v>
      </c>
      <c r="AC13" s="311">
        <f>G13-(a*U13/AI + b*T13/AI)</f>
        <v>2394.2845980262705</v>
      </c>
      <c r="AD13" s="524">
        <f>l_*T13/AI+ m*U13/AI</f>
        <v>830.49516688673282</v>
      </c>
      <c r="AE13" s="524">
        <f>n*T13/AI+ o*U13/AI</f>
        <v>830.49516688673282</v>
      </c>
      <c r="AF13" s="524">
        <f>p_*T13/AI - q*U13/AI</f>
        <v>830.49516688673282</v>
      </c>
      <c r="AG13" s="525">
        <f>r_*T13/AI + s*U13/AI</f>
        <v>830.49516688673282</v>
      </c>
      <c r="AH13" s="524">
        <f>t*V13/AI - u*W13/AI</f>
        <v>830.49516688673282</v>
      </c>
      <c r="AI13" s="525">
        <f>v*V13/AI + w*W13/AI</f>
        <v>830.49516688673282</v>
      </c>
      <c r="AJ13" s="310"/>
      <c r="AK13" s="316">
        <f>AM13-AZ13</f>
        <v>55255.648884671493</v>
      </c>
      <c r="AL13" s="314">
        <f>AN13-BA13-_Pb3</f>
        <v>93669.508667868562</v>
      </c>
      <c r="AM13" s="314">
        <f xml:space="preserve"> -(AT13*J13*W13-AT13*F13*W13-AT13*V13*K13-AR13*V13*K13+AT13*F13*K13+AR13*F13*K13+AT13*V13*O13-AT13*J13*O13+AR13*V13*M13-AR13*F13*M13+_Pb1*J13*V13+AW13*J13*V13+_Pb2*F13*V13+AY13*F13*V13-_Pb2*AE13*V13-_Pb1*AD13*V13-AY13*N13*V13-AW13*L13*V13-_Pb2*F13*J13-_Pb1*F13*J13-AY13*F13*J13-AW13*F13*J13+_Pb2*AE13*J13+AY13*N13*J13+_Pb1*AD13*F13+AW13*L13*F13)/(J13*W13-F13*W13-V13*K13+F13*K13+V13*G13-J13*G13)</f>
        <v>-1391.3126896945155</v>
      </c>
      <c r="AN13" s="314">
        <f>(AR13*K13*W13+AT13*G13*W13-AT13*O13*W13-AR13*M13*W13-_Pb2*J13*W13-_Pb1*J13*W13-AY13*J13*W13-AW13*J13*W13+_Pb2*AE13*W13+_Pb1*AD13*W13+AY13*N13*W13+AW13*L13*W13-AT13*G13*K13-AR13*G13*K13+AT13*O13*K13+_Pb2*V13*K13+AY13*V13*K13-_Pb2*AE13*K13-AY13*N13*K13+AR13*M13*G13-_Pb2*V13*G13-AY13*V13*G13+_Pb2*J13*G13+_Pb1*J13*G13+AY13*J13*G13+AW13*J13*G13-_Pb1*AD13*G13-AW13*L13*G13)/(J13*W13-F13*W13-V13*K13+F13*K13+V13*G13-J13*G13)</f>
        <v>2536.6687327754676</v>
      </c>
      <c r="AO13" s="314">
        <f xml:space="preserve"> (AP13*T13*b_*K13-AP13*T13*AA13*K13-AP13*a_*U13*K13+AP13*Z13*U13*K13-AM13*Z13*b_*G13+AM13*T13*b_*G13+AM13*a_*AA13*G13-AM13*T13*AA13*G13-AM13*a_*U13*G13+AM13*Z13*U13*G13-AP13*Z13*U13*b_-AQ13*T13*J13*b_+AN13*Z13*F13*b_-AN13*T13*F13*b_-_Pb3*AF13*Z13*b_+AQ13*T13*Z13*b_-_Pb4*T13*Z13*b_+_Pb4*T13*AG13*b_+_Pb3*T13*AF13*b_+AP13*a_*U13*AA13+AQ13*T13*J13*AA13-AN13*a_*F13*AA13+AN13*T13*F13*AA13+_Pb3*AF13*a_*AA13-AQ13*T13*a_*AA13+_Pb4*T13*a_*AA13-_Pb4*T13*AG13*AA13-_Pb3*T13*AF13*AA13+AQ13*a_*J13*U13-AQ13*Z13*J13*U13+AN13*a_*F13*U13-AN13*Z13*F13*U13-_Pb4*AG13*a_*U13-_Pb3*AF13*a_*U13+_Pb4*AG13*Z13*U13+_Pb3*AF13*Z13*U13)/(T13*Z13*b_-H13*T13*b_-T13*a_*AA13+H13*T13*AA13+H13*a_*U13-H13*Z13*U13)</f>
        <v>-231048.49197455312</v>
      </c>
      <c r="AP13" s="314">
        <f xml:space="preserve"> -BB13-AR13</f>
        <v>1391.3126896945155</v>
      </c>
      <c r="AQ13" s="314">
        <f xml:space="preserve"> -BC13-AW13-_Pb1</f>
        <v>233.33126722453244</v>
      </c>
      <c r="AR13" s="314"/>
      <c r="AS13" s="314"/>
      <c r="AT13" s="314"/>
      <c r="AU13" s="314"/>
      <c r="AV13" s="314"/>
      <c r="AW13" s="314">
        <f>(Charge*HN + Pt*HM)/(L13-N13)</f>
        <v>-2251.6687327754676</v>
      </c>
      <c r="AX13" s="314"/>
      <c r="AY13" s="314">
        <f xml:space="preserve"> Charge+Pt-AW13</f>
        <v>51.668732775467561</v>
      </c>
      <c r="AZ13" s="314">
        <f xml:space="preserve"> BF13-AP13</f>
        <v>-56646.961574366011</v>
      </c>
      <c r="BA13" s="314">
        <f>AO13+_Pb4+BG13-AQ13</f>
        <v>-90855.839935093099</v>
      </c>
      <c r="BB13" s="314">
        <f>AM13+AT13</f>
        <v>-1391.3126896945155</v>
      </c>
      <c r="BC13" s="314">
        <f>AN13+AY13+_Pb2</f>
        <v>2311.3374655509351</v>
      </c>
      <c r="BD13" s="314"/>
      <c r="BE13" s="314"/>
      <c r="BF13" s="317">
        <f>BG13*(Z13-a_)/(AA13-b_)</f>
        <v>-55255.648884671493</v>
      </c>
      <c r="BG13" s="315">
        <f xml:space="preserve"> -((b_-AA13)*(AP13*T13*K13+AM13*T13*G13-AM13*H13*G13-AP13*H13*U13-AQ13*T13*J13-AN13*T13*F13+AN13*H13*F13+_Pb4*T13*AG13+_Pb3*T13*AF13-_Pb3*H13*AF13+AQ13*H13*T13-_Pb4*H13*T13))/(T13*Z13*b_-H13*T13*b_-T13*a_*AA13+H13*T13*AA13+H13*a_*U13-H13*Z13*U13)</f>
        <v>140702.98330668456</v>
      </c>
      <c r="BI13" s="337">
        <f>ASIN(PP/(6*AI))</f>
        <v>1.0603960252251323</v>
      </c>
      <c r="BJ13" s="313">
        <f>ACOS(($AB$13-$Z$13)/C13)</f>
        <v>1.2758089477767856</v>
      </c>
      <c r="BK13" s="313">
        <f>DEGREES(BI13)</f>
        <v>60.756216857848059</v>
      </c>
      <c r="BL13" s="338">
        <f>DEGREES(BJ13)</f>
        <v>73.09846817263626</v>
      </c>
      <c r="BP13" s="306"/>
      <c r="BU13" s="306"/>
      <c r="BV13" s="306"/>
      <c r="BW13" s="306"/>
      <c r="BX13" s="306"/>
      <c r="BY13" s="306"/>
      <c r="CN13" s="306"/>
      <c r="CO13" s="306"/>
      <c r="CP13" s="306"/>
      <c r="CQ13" s="306"/>
      <c r="CR13" s="306"/>
      <c r="CS13" s="306"/>
      <c r="CT13" s="306"/>
      <c r="CU13" s="306"/>
      <c r="CV13" s="306"/>
      <c r="CW13" s="306"/>
      <c r="CX13" s="306"/>
      <c r="CY13" s="306"/>
      <c r="CZ13" s="306"/>
      <c r="DA13" s="306"/>
      <c r="DB13" s="306"/>
      <c r="DC13" s="306"/>
      <c r="DD13" s="306"/>
      <c r="DE13" s="306"/>
      <c r="DF13" s="306"/>
      <c r="DG13" s="306"/>
      <c r="DH13" s="306"/>
      <c r="DI13" s="306"/>
      <c r="DJ13" s="306"/>
      <c r="DK13" s="306"/>
      <c r="DL13" s="306"/>
      <c r="DM13" s="306"/>
      <c r="DN13" s="306"/>
      <c r="DO13" s="306"/>
      <c r="DP13" s="306"/>
      <c r="DQ13" s="306"/>
      <c r="DR13" s="306"/>
      <c r="DS13" s="306"/>
    </row>
    <row r="14" spans="1:125" ht="13.5" customHeight="1" thickBot="1" x14ac:dyDescent="0.3">
      <c r="E14" s="225"/>
      <c r="F14" s="203"/>
      <c r="P14" s="218"/>
      <c r="Q14" s="218"/>
      <c r="R14" s="218"/>
      <c r="S14" s="218"/>
      <c r="T14" s="218"/>
      <c r="U14" s="218"/>
      <c r="V14" s="218"/>
      <c r="W14" s="218"/>
      <c r="X14" s="218"/>
      <c r="Y14" s="219"/>
      <c r="Z14" s="219"/>
      <c r="AA14" s="222"/>
      <c r="AB14" s="216"/>
      <c r="AC14" s="216"/>
      <c r="AD14" s="216"/>
      <c r="AE14" s="216"/>
      <c r="AF14" s="216"/>
      <c r="AG14" s="216"/>
      <c r="AH14" s="216"/>
      <c r="AI14" s="216"/>
      <c r="AJ14" s="216"/>
      <c r="AK14" s="216"/>
      <c r="AL14" s="216"/>
      <c r="AM14" s="216"/>
      <c r="AN14" s="216"/>
      <c r="AO14" s="216"/>
      <c r="AP14" s="216"/>
      <c r="AQ14" s="216"/>
      <c r="AR14" s="216"/>
      <c r="AS14" s="216"/>
      <c r="AT14" s="216"/>
      <c r="AZ14" s="216"/>
      <c r="BA14" s="216"/>
      <c r="BB14" s="216"/>
      <c r="BC14" s="216"/>
      <c r="BF14" s="216"/>
      <c r="BG14" s="216"/>
      <c r="BH14" s="216"/>
      <c r="BI14" s="339"/>
      <c r="BJ14" s="339"/>
      <c r="BK14" s="339"/>
      <c r="BL14" s="339"/>
      <c r="BP14" s="216"/>
      <c r="CH14" s="202"/>
      <c r="CJ14" s="223"/>
      <c r="CK14" s="223"/>
      <c r="CL14" s="223"/>
      <c r="CM14" s="223"/>
      <c r="CN14" s="223"/>
      <c r="CO14" s="223"/>
      <c r="CQ14" s="223"/>
      <c r="CR14" s="223"/>
      <c r="CS14" s="223"/>
      <c r="CT14" s="223"/>
      <c r="CU14" s="223"/>
      <c r="CV14" s="223"/>
      <c r="CW14" s="216"/>
      <c r="CX14" s="220"/>
      <c r="CY14" s="220"/>
      <c r="CZ14" s="220"/>
      <c r="DA14" s="220"/>
      <c r="DB14" s="220"/>
      <c r="DN14" s="204"/>
    </row>
    <row r="15" spans="1:125" ht="16.5" customHeight="1" thickBot="1" x14ac:dyDescent="0.3">
      <c r="B15" s="224"/>
      <c r="C15" s="225"/>
      <c r="D15" s="225"/>
      <c r="E15" s="225"/>
      <c r="F15" s="520" t="s">
        <v>247</v>
      </c>
      <c r="G15" s="521"/>
      <c r="H15" s="521"/>
      <c r="I15" s="521"/>
      <c r="J15" s="521"/>
      <c r="K15" s="521"/>
      <c r="L15" s="521"/>
      <c r="M15" s="521"/>
      <c r="N15" s="521"/>
      <c r="O15" s="521"/>
      <c r="P15" s="521"/>
      <c r="Q15" s="521"/>
      <c r="R15" s="521"/>
      <c r="S15" s="521"/>
      <c r="T15" s="521"/>
      <c r="U15" s="521"/>
      <c r="V15" s="521"/>
      <c r="W15" s="521"/>
      <c r="X15" s="521"/>
      <c r="Y15" s="521"/>
      <c r="Z15" s="521"/>
      <c r="AA15" s="521"/>
      <c r="AB15" s="521"/>
      <c r="AC15" s="521"/>
      <c r="AD15" s="521"/>
      <c r="AE15" s="521"/>
      <c r="AF15" s="521"/>
      <c r="AG15" s="521"/>
      <c r="AH15" s="521"/>
      <c r="AI15" s="522"/>
      <c r="AK15" s="394" t="s">
        <v>298</v>
      </c>
      <c r="AL15" s="395"/>
      <c r="AM15" s="395"/>
      <c r="AN15" s="395"/>
      <c r="AO15" s="395"/>
      <c r="AP15" s="395"/>
      <c r="AQ15" s="395"/>
      <c r="AR15" s="396"/>
      <c r="AS15" s="396"/>
      <c r="AT15" s="396"/>
      <c r="AU15" s="396"/>
      <c r="AV15" s="396"/>
      <c r="AW15" s="396"/>
      <c r="AX15" s="396"/>
      <c r="AY15" s="396"/>
      <c r="AZ15" s="395"/>
      <c r="BA15" s="395"/>
      <c r="BB15" s="395"/>
      <c r="BC15" s="395"/>
      <c r="BD15" s="395"/>
      <c r="BE15" s="395"/>
      <c r="BF15" s="395"/>
      <c r="BG15" s="397"/>
      <c r="BI15" s="388" t="s">
        <v>271</v>
      </c>
      <c r="BJ15" s="389"/>
      <c r="BK15" s="389"/>
      <c r="BL15" s="390"/>
      <c r="CA15" s="204"/>
      <c r="CB15" s="299"/>
      <c r="CC15" s="299"/>
      <c r="CD15" s="299"/>
      <c r="CE15" s="299"/>
      <c r="CF15" s="299"/>
      <c r="CG15" s="299"/>
      <c r="CI15" s="299"/>
      <c r="CJ15" s="299"/>
      <c r="CK15" s="299"/>
      <c r="CL15" s="299"/>
      <c r="CM15" s="299"/>
      <c r="CN15" s="299"/>
      <c r="CO15" s="216"/>
      <c r="CP15" s="219"/>
      <c r="CQ15" s="219"/>
      <c r="CR15" s="219"/>
      <c r="DE15" s="203"/>
      <c r="DF15" s="203"/>
      <c r="DG15" s="203"/>
      <c r="DH15" s="203"/>
      <c r="DI15" s="203"/>
      <c r="DJ15" s="203"/>
      <c r="DK15" s="203"/>
      <c r="DL15" s="203"/>
      <c r="DM15" s="203"/>
    </row>
    <row r="16" spans="1:125" ht="18" customHeight="1" x14ac:dyDescent="0.25">
      <c r="B16" s="296" t="s">
        <v>33</v>
      </c>
      <c r="C16" s="297" t="s">
        <v>131</v>
      </c>
      <c r="D16" s="226" t="s">
        <v>130</v>
      </c>
      <c r="E16" s="225"/>
      <c r="F16" s="357" t="s">
        <v>129</v>
      </c>
      <c r="G16" s="358"/>
      <c r="H16" s="359" t="s">
        <v>128</v>
      </c>
      <c r="I16" s="358"/>
      <c r="J16" s="359" t="s">
        <v>127</v>
      </c>
      <c r="K16" s="358"/>
      <c r="L16" s="359" t="s">
        <v>126</v>
      </c>
      <c r="M16" s="358"/>
      <c r="N16" s="359" t="s">
        <v>227</v>
      </c>
      <c r="O16" s="358"/>
      <c r="P16" s="359" t="s">
        <v>225</v>
      </c>
      <c r="Q16" s="358"/>
      <c r="R16" s="359" t="s">
        <v>125</v>
      </c>
      <c r="S16" s="358"/>
      <c r="T16" s="359" t="s">
        <v>226</v>
      </c>
      <c r="U16" s="358"/>
      <c r="V16" s="359" t="s">
        <v>229</v>
      </c>
      <c r="W16" s="358"/>
      <c r="X16" s="359" t="s">
        <v>240</v>
      </c>
      <c r="Y16" s="358"/>
      <c r="Z16" s="359" t="s">
        <v>231</v>
      </c>
      <c r="AA16" s="358"/>
      <c r="AB16" s="359" t="s">
        <v>228</v>
      </c>
      <c r="AC16" s="358"/>
      <c r="AD16" s="519" t="s">
        <v>121</v>
      </c>
      <c r="AE16" s="519"/>
      <c r="AF16" s="519"/>
      <c r="AG16" s="519"/>
      <c r="AH16" s="519"/>
      <c r="AI16" s="523"/>
      <c r="AK16" s="398" t="s">
        <v>138</v>
      </c>
      <c r="AL16" s="387"/>
      <c r="AM16" s="386" t="s">
        <v>279</v>
      </c>
      <c r="AN16" s="387"/>
      <c r="AO16" s="228" t="s">
        <v>116</v>
      </c>
      <c r="AP16" s="386" t="s">
        <v>282</v>
      </c>
      <c r="AQ16" s="387"/>
      <c r="AR16" s="391" t="s">
        <v>304</v>
      </c>
      <c r="AS16" s="392"/>
      <c r="AT16" s="391" t="s">
        <v>305</v>
      </c>
      <c r="AU16" s="393"/>
      <c r="AV16" s="391" t="s">
        <v>276</v>
      </c>
      <c r="AW16" s="393"/>
      <c r="AX16" s="393"/>
      <c r="AY16" s="392"/>
      <c r="AZ16" s="386" t="s">
        <v>291</v>
      </c>
      <c r="BA16" s="387"/>
      <c r="BB16" s="386" t="s">
        <v>292</v>
      </c>
      <c r="BC16" s="387"/>
      <c r="BD16" s="386" t="s">
        <v>295</v>
      </c>
      <c r="BE16" s="387"/>
      <c r="BF16" s="386" t="s">
        <v>140</v>
      </c>
      <c r="BG16" s="399"/>
      <c r="BI16" s="340" t="s">
        <v>112</v>
      </c>
      <c r="BJ16" s="341" t="s">
        <v>111</v>
      </c>
      <c r="BK16" s="341" t="s">
        <v>112</v>
      </c>
      <c r="BL16" s="342" t="s">
        <v>111</v>
      </c>
      <c r="BV16" s="203"/>
      <c r="BW16" s="203"/>
      <c r="BX16" s="203"/>
      <c r="BY16" s="203"/>
      <c r="CH16" s="202"/>
      <c r="CJ16" s="299"/>
      <c r="CK16" s="299"/>
      <c r="CL16" s="299"/>
      <c r="CM16" s="299"/>
      <c r="CN16" s="299"/>
      <c r="CO16" s="299"/>
      <c r="CQ16" s="299"/>
      <c r="CR16" s="299"/>
      <c r="CS16" s="299"/>
      <c r="CT16" s="299"/>
      <c r="CU16" s="299"/>
      <c r="CV16" s="299"/>
      <c r="CW16" s="216"/>
      <c r="CX16" s="219"/>
      <c r="CY16" s="219"/>
      <c r="CZ16" s="219"/>
      <c r="DA16" s="220"/>
      <c r="DM16" s="203"/>
    </row>
    <row r="17" spans="2:117" ht="13.8" x14ac:dyDescent="0.25">
      <c r="B17" s="304" t="s">
        <v>110</v>
      </c>
      <c r="C17" s="301" t="s">
        <v>220</v>
      </c>
      <c r="D17" s="231" t="s">
        <v>208</v>
      </c>
      <c r="E17" s="225"/>
      <c r="F17" s="304" t="s">
        <v>259</v>
      </c>
      <c r="G17" s="301" t="s">
        <v>258</v>
      </c>
      <c r="H17" s="301" t="s">
        <v>257</v>
      </c>
      <c r="I17" s="301" t="s">
        <v>256</v>
      </c>
      <c r="J17" s="301" t="s">
        <v>255</v>
      </c>
      <c r="K17" s="301" t="s">
        <v>254</v>
      </c>
      <c r="L17" s="301" t="s">
        <v>253</v>
      </c>
      <c r="M17" s="301" t="s">
        <v>252</v>
      </c>
      <c r="N17" s="301" t="s">
        <v>251</v>
      </c>
      <c r="O17" s="301" t="s">
        <v>250</v>
      </c>
      <c r="P17" s="301" t="s">
        <v>249</v>
      </c>
      <c r="Q17" s="301" t="s">
        <v>248</v>
      </c>
      <c r="R17" s="301" t="s">
        <v>260</v>
      </c>
      <c r="S17" s="301" t="s">
        <v>261</v>
      </c>
      <c r="T17" s="301" t="s">
        <v>62</v>
      </c>
      <c r="U17" s="301" t="s">
        <v>63</v>
      </c>
      <c r="V17" s="301" t="s">
        <v>262</v>
      </c>
      <c r="W17" s="301" t="s">
        <v>263</v>
      </c>
      <c r="X17" s="301" t="s">
        <v>264</v>
      </c>
      <c r="Y17" s="301" t="s">
        <v>265</v>
      </c>
      <c r="Z17" s="301" t="s">
        <v>266</v>
      </c>
      <c r="AA17" s="301" t="s">
        <v>267</v>
      </c>
      <c r="AB17" s="301" t="s">
        <v>268</v>
      </c>
      <c r="AC17" s="301" t="s">
        <v>269</v>
      </c>
      <c r="AD17" s="301" t="s">
        <v>91</v>
      </c>
      <c r="AE17" s="301" t="s">
        <v>90</v>
      </c>
      <c r="AF17" s="301" t="s">
        <v>89</v>
      </c>
      <c r="AG17" s="301" t="s">
        <v>88</v>
      </c>
      <c r="AH17" s="301" t="s">
        <v>310</v>
      </c>
      <c r="AI17" s="345" t="s">
        <v>311</v>
      </c>
      <c r="AK17" s="301" t="s">
        <v>72</v>
      </c>
      <c r="AL17" s="301" t="s">
        <v>71</v>
      </c>
      <c r="AM17" s="230" t="s">
        <v>277</v>
      </c>
      <c r="AN17" s="230" t="s">
        <v>278</v>
      </c>
      <c r="AO17" s="230" t="s">
        <v>287</v>
      </c>
      <c r="AP17" s="230" t="s">
        <v>280</v>
      </c>
      <c r="AQ17" s="230" t="s">
        <v>281</v>
      </c>
      <c r="AR17" s="230" t="s">
        <v>308</v>
      </c>
      <c r="AS17" s="230" t="s">
        <v>309</v>
      </c>
      <c r="AT17" s="230" t="s">
        <v>306</v>
      </c>
      <c r="AU17" s="230" t="s">
        <v>307</v>
      </c>
      <c r="AV17" s="230" t="s">
        <v>302</v>
      </c>
      <c r="AW17" s="233" t="s">
        <v>303</v>
      </c>
      <c r="AX17" s="233" t="s">
        <v>301</v>
      </c>
      <c r="AY17" s="233" t="s">
        <v>300</v>
      </c>
      <c r="AZ17" s="230" t="s">
        <v>283</v>
      </c>
      <c r="BA17" s="301" t="s">
        <v>284</v>
      </c>
      <c r="BB17" s="230" t="s">
        <v>289</v>
      </c>
      <c r="BC17" s="230" t="s">
        <v>288</v>
      </c>
      <c r="BD17" s="230" t="s">
        <v>296</v>
      </c>
      <c r="BE17" s="230" t="s">
        <v>297</v>
      </c>
      <c r="BF17" s="230" t="s">
        <v>285</v>
      </c>
      <c r="BG17" s="231" t="s">
        <v>286</v>
      </c>
      <c r="BI17" s="304" t="s">
        <v>270</v>
      </c>
      <c r="BJ17" s="301" t="s">
        <v>69</v>
      </c>
      <c r="BK17" s="301" t="s">
        <v>68</v>
      </c>
      <c r="BL17" s="336" t="s">
        <v>67</v>
      </c>
      <c r="BV17" s="203"/>
      <c r="BW17" s="203"/>
      <c r="BX17" s="203"/>
      <c r="BY17" s="203"/>
      <c r="CH17" s="202"/>
      <c r="CI17" s="220"/>
      <c r="CJ17" s="223"/>
      <c r="CK17" s="223"/>
      <c r="CL17" s="223"/>
      <c r="CM17" s="223"/>
      <c r="CN17" s="223"/>
      <c r="CO17" s="223"/>
      <c r="CP17" s="220"/>
      <c r="CQ17" s="223"/>
      <c r="CR17" s="223"/>
      <c r="CS17" s="223"/>
      <c r="CT17" s="223"/>
      <c r="CU17" s="223"/>
      <c r="CV17" s="223"/>
      <c r="CW17" s="216"/>
      <c r="CX17" s="223"/>
      <c r="CY17" s="223"/>
      <c r="CZ17" s="223"/>
      <c r="DM17" s="203"/>
    </row>
    <row r="18" spans="2:117" ht="12.75" customHeight="1" x14ac:dyDescent="0.25">
      <c r="B18" s="323">
        <f>Pb</f>
        <v>600</v>
      </c>
      <c r="C18" s="324">
        <f t="shared" ref="C18:C51" si="0">SQRT((Xvrb-Xvrh)^2+(Yvrh-Yvrb)^2)</f>
        <v>2846.0333992789674</v>
      </c>
      <c r="D18" s="234">
        <f t="shared" ref="D18:D51" si="1">SQRT(Fvx^2+Fvy^2)</f>
        <v>44308.7316888106</v>
      </c>
      <c r="E18" s="225"/>
      <c r="F18" s="346">
        <f t="shared" ref="F18:F51" si="2">2*Xi</f>
        <v>3394.1125496954282</v>
      </c>
      <c r="G18" s="318">
        <f>P/3</f>
        <v>200</v>
      </c>
      <c r="H18" s="318">
        <f>2*Xi</f>
        <v>3394.1125496954282</v>
      </c>
      <c r="I18" s="318">
        <f>0</f>
        <v>0</v>
      </c>
      <c r="J18" s="318">
        <f>0</f>
        <v>0</v>
      </c>
      <c r="K18" s="318">
        <f t="shared" ref="K18:K51" si="3">Yb</f>
        <v>200</v>
      </c>
      <c r="L18" s="318">
        <f t="shared" ref="L18:L51" si="4">2*Xi</f>
        <v>3394.1125496954282</v>
      </c>
      <c r="M18" s="318">
        <f t="shared" ref="M18:M51" si="5">4*P/6</f>
        <v>400</v>
      </c>
      <c r="N18" s="318">
        <f>0</f>
        <v>0</v>
      </c>
      <c r="O18" s="318">
        <f t="shared" ref="O18:O51" si="6">Ye</f>
        <v>400</v>
      </c>
      <c r="P18" s="318">
        <f t="shared" ref="P18:P51" si="7">2*Xi</f>
        <v>3394.1125496954282</v>
      </c>
      <c r="Q18" s="319">
        <f t="shared" ref="Q18:Q51" si="8">P</f>
        <v>600</v>
      </c>
      <c r="R18" s="319">
        <f>0</f>
        <v>0</v>
      </c>
      <c r="S18" s="318">
        <f t="shared" ref="S18:S51" si="9">Yg</f>
        <v>600</v>
      </c>
      <c r="T18" s="318">
        <f t="shared" ref="T18:T51" si="10">SQRT((6*AI)^2-P^2)/6</f>
        <v>1697.0562748477141</v>
      </c>
      <c r="U18" s="318">
        <f t="shared" ref="U18:U51" si="11">P/6</f>
        <v>100</v>
      </c>
      <c r="V18" s="320">
        <f t="shared" ref="V18:V51" si="12">Xi</f>
        <v>1697.0562748477141</v>
      </c>
      <c r="W18" s="320">
        <f t="shared" ref="W18:W51" si="13">P/2</f>
        <v>300</v>
      </c>
      <c r="X18" s="320">
        <f t="shared" ref="X18:X51" si="14">Xi</f>
        <v>1697.0562748477141</v>
      </c>
      <c r="Y18" s="320">
        <f t="shared" ref="Y18:Y51" si="15">P*5/6</f>
        <v>500</v>
      </c>
      <c r="Z18" s="318">
        <f>a*(Xi/a)*o-b*(Yi/AI)</f>
        <v>-5.8823529411764701</v>
      </c>
      <c r="AA18" s="320">
        <f t="shared" ref="AA18:AA51" si="16">Yf+a*Yi/AI + b*Xi/AI</f>
        <v>535.12095734398326</v>
      </c>
      <c r="AB18" s="318">
        <f t="shared" ref="AB18:AB51" si="17">(2*AI-a)*Xi/AI+ b*Yi/AI</f>
        <v>2801.0338644550588</v>
      </c>
      <c r="AC18" s="320">
        <f t="shared" ref="AC18:AC51" si="18">Yb-(a*Yi/AI + b*Xi/AI)</f>
        <v>64.879042656016793</v>
      </c>
      <c r="AD18" s="320">
        <f xml:space="preserve"> Xd + l_*Xi/AI- m*Yi/AI</f>
        <v>1697.0562748477141</v>
      </c>
      <c r="AE18" s="320">
        <f t="shared" ref="AE18:AE51" si="19">Xf+n*Xi/AI+ o*Yi/AI</f>
        <v>1697.0562748477141</v>
      </c>
      <c r="AF18" s="320">
        <f>p_*Xi/AI - q*Yi/AI</f>
        <v>1697.0562748477141</v>
      </c>
      <c r="AG18" s="320">
        <f>Xd +r_*Xi/AI + s*Yi/AI</f>
        <v>1697.0562748477141</v>
      </c>
      <c r="AH18" s="320">
        <f>p_*Xi/AI - q*Yi/AI</f>
        <v>1697.0562748477141</v>
      </c>
      <c r="AI18" s="347">
        <f>Xd +r_*Xi/AI + s*Yi/AI</f>
        <v>1697.0562748477141</v>
      </c>
      <c r="AK18" s="354">
        <f t="shared" ref="AK18:AK51" si="20">Rbx+Rdx-Fvx</f>
        <v>43215.469598785188</v>
      </c>
      <c r="AL18" s="354">
        <f t="shared" ref="AL18:AL51" si="21">Rby-Fiy-_Pb5-Fvy</f>
        <v>-1310.4121002272041</v>
      </c>
      <c r="AM18" s="349">
        <f t="shared" ref="AM18:AM51" si="22">-(Rfx*Xd*Yj-Rfx*Xb*Yj-Rfx*Xj*Yd-Rex*Xj*Yd+Rfx*Xb*Yd+Rex*Xb*Yd+Rfx*Xj*Yf-Rfx*Xd*Yf+Rex*Xj*Ye-Rex*Xb*Ye+_Pb1*Xd*Xj+Fgy*Xd*Xj+_Pb2*Xb*Xj+Fhy*Xb*Xj-_Pb2*_Xg2*Xj-_Pb1*_Xg1*Xj-Fhy*Xf*Xj-Fgy*Xe*Xj-_Pb2*Xb*Xd-_Pb1*Xb*Xd-Fhy*Xb*Xd-Fgy*Xb*Xd+_Pb2*_Xg2*Xd+Fhy*Xf*Xd+_Pb1*_Xg1*Xb+Fgy*Xe*Xb)/(Xd*Yj-Xb*Yj-Xj*Yd+Xb*Yd+Xj*Yb-Xd*Yb)</f>
        <v>-42171.848429965699</v>
      </c>
      <c r="AN18" s="349">
        <f t="shared" ref="AN18:AN51" si="23">(Rex*Yd*Yj+Rfx*Yb*Yj-Rfx*Yf*Yj-Rex*Ye*Yj-_Pb2*Xd*Yj-_Pb1*Xd*Yj-Fhy*Xd*Yj-Fgy*Xd*Yj+_Pb2*_Xg2*Yj+_Pb1*_Xg1*Yj+Fhy*Xf*Yj+Fgy*Xe*Yj-Rfx*Yb*Yd-Rex*Yb*Yd+Rfx*Yf*Yd+_Pb2*Xj*Yd+Fhy*Xj*Yd-_Pb2*_Xg2*Yd-Fhy*Xf*Yd+Rex*Ye*Yb-_Pb2*Xj*Yb-Fhy*Xj*Yb+_Pb2*Xd*Yb+_Pb1*Xd*Yb+Fhy*Xd*Yb+Fgy*Xd*Yb-_Pb1*_Xg1*Yb-Fgy*Xe*Yb)/(Xd*Yj-Xb*Yj-Xj*Yd+Xb*Yd+Xj*Yb-Xd*Yb)</f>
        <v>1386.9080673490364</v>
      </c>
      <c r="AO18" s="349">
        <f t="shared" ref="AO18:AO51" si="24" xml:space="preserve"> (Rdx*Xi*b_*Yd-Rdx*Xi*Yvrh*Yd-Rdx*a_*Yi*Yd+Rdx*Xvrh*Yi*Yd-Rbx*Xvrh*b_*Yb+Rbx*Xi*b_*Yb+Rbx*a_*Yvrh*Yb-Rbx*Xi*Yvrh*Yb-Rbx*a_*Yi*Yb+Rbx*Xvrh*Yi*Yb-Rdx*Xvrh*Yi*b_-Rdy*Xi*Xd*b_+Rby*Xvrh*Xb*b_-Rby*Xi*Xb*b_-_Pb3*_Xg3*Xvrh*b_+Rdy*Xi*Xvrh*b_-_Pb4*Xi*Xvrh*b_+_Pb4*Xi*_Xg4*b_+_Pb3*Xi*_Xg3*b_+Rdx*a_*Yi*Yvrh+Rdy*Xi*Xd*Yvrh-Rby*a_*Xb*Yvrh+Rby*Xi*Xb*Yvrh+_Pb3*_Xg3*a_*Yvrh-Rdy*Xi*a_*Yvrh+_Pb4*Xi*a_*Yvrh-_Pb4*Xi*_Xg4*Yvrh-_Pb3*Xi*_Xg3*Yvrh+Rdy*a_*Xd*Yi-Rdy*Xvrh*Xd*Yi+Rby*a_*Xb*Yi-Rby*Xvrh*Xb*Yi-_Pb4*_Xg4*a_*Yi-_Pb3*_Xg3*a_*Yi+_Pb4*_Xg4*Xvrh*Yi+_Pb3*_Xg3*Xvrh*Yi)/(Xi*Xvrh*b_-Xc*Xi*b_-Xi*a_*Yvrh+Xc*Xi*Yvrh+Xc*a_*Yi-Xc*Xvrh*Yi)</f>
        <v>-5132.5555560003486</v>
      </c>
      <c r="AP18" s="349">
        <f t="shared" ref="AP18:AP51" si="25" xml:space="preserve"> -Fjx-Rex</f>
        <v>42171.848429965699</v>
      </c>
      <c r="AQ18" s="349">
        <f t="shared" ref="AQ18:AQ51" si="26">-Fjy-Fgy-_Pb1</f>
        <v>1383.0919326509636</v>
      </c>
      <c r="AR18" s="349">
        <f t="shared" ref="AR18:AR51" si="27">Fkx-Fhx</f>
        <v>0</v>
      </c>
      <c r="AS18" s="349"/>
      <c r="AT18" s="349"/>
      <c r="AU18" s="351"/>
      <c r="AV18" s="349"/>
      <c r="AW18" s="349">
        <f t="shared" ref="AW18:AW51" si="28">(Charge*HN + Pt*HM)/(Xe-Xf)</f>
        <v>-1101.9080673490366</v>
      </c>
      <c r="AX18" s="349"/>
      <c r="AY18" s="349">
        <f t="shared" ref="AY18:AY51" si="29" xml:space="preserve"> Charge+Pt-Fgy</f>
        <v>-1098.0919326509634</v>
      </c>
      <c r="AZ18" s="321">
        <f t="shared" ref="AZ18:AZ51" si="30" xml:space="preserve"> -Rdx</f>
        <v>-42171.848429965699</v>
      </c>
      <c r="BA18" s="321">
        <f t="shared" ref="BA18:BA51" si="31">Rcy+_Pb6-Rdy</f>
        <v>-6799.6474886513124</v>
      </c>
      <c r="BB18" s="349">
        <f t="shared" ref="BB18:BB51" si="32">Rbx+Rfx</f>
        <v>-42171.848429965699</v>
      </c>
      <c r="BC18" s="349">
        <f t="shared" ref="BC18:BC51" si="33">Rby+Fhy+_Pb2</f>
        <v>11.816134698073029</v>
      </c>
      <c r="BD18" s="349"/>
      <c r="BE18" s="349"/>
      <c r="BF18" s="349">
        <f t="shared" ref="BF18:BF51" si="34">Fvy*(Xvrh-a_)/(Yvrh-b_)</f>
        <v>-43215.469598785188</v>
      </c>
      <c r="BG18" s="350">
        <f t="shared" ref="BG18:BG51" si="35" xml:space="preserve"> -((b_-Yvrh)*(Rdx*Xi*Yd+Rbx*Xi*Yb-Rbx*Xc*Yb-Rdx*Xc*Yi-Rdy*Xi*Xd-Rby*Xi*Xb+Rby*Xc*Xb+_Pb4*Xi*_Xg4+_Pb3*Xi*_Xg3-_Pb3*Xc*_Xg3+Rdy*Xc*Xi-_Pb4*Xc*Xi))/(Xi*Xvrh*b_-Xc*Xi*b_-Xi*a_*Yvrh+Xc*Xi*Yvrh+Xc*a_*Yi-Xc*Xvrh*Yi)</f>
        <v>9781.9676562275527</v>
      </c>
      <c r="BI18" s="302">
        <f t="shared" ref="BI18:BI51" si="36">ASIN(P/(6*AI))</f>
        <v>5.885750594708123E-2</v>
      </c>
      <c r="BJ18" s="302">
        <f t="shared" ref="BJ18:BJ51" si="37">ACOS((Xvrb-Xvrh)/Lv)</f>
        <v>0.16598829653850733</v>
      </c>
      <c r="BK18" s="302">
        <f t="shared" ref="BK18:BK51" si="38">DEGREES(alpha)</f>
        <v>3.3722866834338978</v>
      </c>
      <c r="BL18" s="343">
        <f t="shared" ref="BL18:BL51" si="39">DEGREES(beta)</f>
        <v>9.5104288402224419</v>
      </c>
      <c r="BV18" s="203"/>
      <c r="BW18" s="203"/>
      <c r="BX18" s="203"/>
      <c r="BY18" s="203"/>
      <c r="CH18" s="202"/>
      <c r="CJ18" s="236"/>
      <c r="CK18" s="237"/>
      <c r="CL18" s="237"/>
      <c r="CM18" s="237"/>
      <c r="CN18" s="236"/>
      <c r="CO18" s="236"/>
      <c r="CQ18" s="236"/>
      <c r="CR18" s="236"/>
      <c r="CS18" s="236"/>
      <c r="CT18" s="236"/>
      <c r="CU18" s="236"/>
      <c r="CV18" s="236"/>
      <c r="CW18" s="216"/>
      <c r="CX18" s="236"/>
      <c r="CY18" s="236"/>
      <c r="CZ18" s="236"/>
      <c r="DM18" s="203"/>
    </row>
    <row r="19" spans="2:117" ht="12.75" customHeight="1" x14ac:dyDescent="0.25">
      <c r="B19" s="323">
        <f t="shared" ref="B19:B50" si="40">B18+ROUNDUP((Ph-Pb)/33,0)</f>
        <v>852</v>
      </c>
      <c r="C19" s="324">
        <f t="shared" si="0"/>
        <v>2284.7917412893485</v>
      </c>
      <c r="D19" s="234">
        <f t="shared" si="1"/>
        <v>33220.329863337996</v>
      </c>
      <c r="E19" s="225"/>
      <c r="F19" s="346">
        <f t="shared" si="2"/>
        <v>3388.1180616973784</v>
      </c>
      <c r="G19" s="318">
        <f t="shared" ref="G19:G51" si="41">P/3</f>
        <v>284</v>
      </c>
      <c r="H19" s="318">
        <f t="shared" ref="H19:H51" si="42">2*Xi</f>
        <v>3388.1180616973784</v>
      </c>
      <c r="I19" s="318">
        <f>0</f>
        <v>0</v>
      </c>
      <c r="J19" s="318">
        <f>0</f>
        <v>0</v>
      </c>
      <c r="K19" s="318">
        <f t="shared" si="3"/>
        <v>284</v>
      </c>
      <c r="L19" s="318">
        <f t="shared" si="4"/>
        <v>3388.1180616973784</v>
      </c>
      <c r="M19" s="318">
        <f t="shared" si="5"/>
        <v>568</v>
      </c>
      <c r="N19" s="321">
        <f>0</f>
        <v>0</v>
      </c>
      <c r="O19" s="321">
        <f t="shared" si="6"/>
        <v>568</v>
      </c>
      <c r="P19" s="321">
        <f t="shared" si="7"/>
        <v>3388.1180616973784</v>
      </c>
      <c r="Q19" s="279">
        <f t="shared" si="8"/>
        <v>852</v>
      </c>
      <c r="R19" s="279">
        <f>0</f>
        <v>0</v>
      </c>
      <c r="S19" s="321">
        <f t="shared" si="9"/>
        <v>852</v>
      </c>
      <c r="T19" s="318">
        <f t="shared" si="10"/>
        <v>1694.0590308486892</v>
      </c>
      <c r="U19" s="318">
        <f t="shared" si="11"/>
        <v>142</v>
      </c>
      <c r="V19" s="320">
        <f t="shared" si="12"/>
        <v>1694.0590308486892</v>
      </c>
      <c r="W19" s="320">
        <f t="shared" si="13"/>
        <v>426</v>
      </c>
      <c r="X19" s="320">
        <f t="shared" si="14"/>
        <v>1694.0590308486892</v>
      </c>
      <c r="Y19" s="320">
        <f t="shared" si="15"/>
        <v>710</v>
      </c>
      <c r="Z19" s="318">
        <f t="shared" ref="Z19:Z51" si="43">a*Xi/AI- b*Yi/AI</f>
        <v>589.55024618189032</v>
      </c>
      <c r="AA19" s="320">
        <f t="shared" si="16"/>
        <v>717.768178285217</v>
      </c>
      <c r="AB19" s="318">
        <f t="shared" si="17"/>
        <v>2798.5678155154883</v>
      </c>
      <c r="AC19" s="320">
        <f t="shared" si="18"/>
        <v>134.231821714783</v>
      </c>
      <c r="AD19" s="320">
        <f t="shared" ref="AD19:AD51" si="44" xml:space="preserve"> Xd + l_*Xi/AI- m*Yi/AI</f>
        <v>1694.0590308486892</v>
      </c>
      <c r="AE19" s="320">
        <f t="shared" si="19"/>
        <v>1694.0590308486892</v>
      </c>
      <c r="AF19" s="320">
        <f>p_*Xi/AI - q*Yi/AI</f>
        <v>1694.0590308486892</v>
      </c>
      <c r="AG19" s="320">
        <f>Xd +r_*Xi/AI + s*Yi/AI</f>
        <v>1694.0590308486892</v>
      </c>
      <c r="AH19" s="320">
        <f>p_*Xi/AI - q*Yi/AI</f>
        <v>1694.0590308486892</v>
      </c>
      <c r="AI19" s="347">
        <f>Xd +r_*Xi/AI + s*Yi/AI</f>
        <v>1694.0590308486892</v>
      </c>
      <c r="AK19" s="321">
        <f t="shared" si="20"/>
        <v>31156.530360071796</v>
      </c>
      <c r="AL19" s="321">
        <f t="shared" si="21"/>
        <v>-1247.2442107282513</v>
      </c>
      <c r="AM19" s="351">
        <f t="shared" si="22"/>
        <v>-29646.03303985206</v>
      </c>
      <c r="AN19" s="351">
        <f t="shared" si="23"/>
        <v>1388.8576377490031</v>
      </c>
      <c r="AO19" s="351">
        <f t="shared" si="24"/>
        <v>-6940.2874510905312</v>
      </c>
      <c r="AP19" s="351">
        <f t="shared" si="25"/>
        <v>29646.03303985206</v>
      </c>
      <c r="AQ19" s="351">
        <f t="shared" si="26"/>
        <v>1381.1423622509969</v>
      </c>
      <c r="AR19" s="351">
        <f t="shared" si="27"/>
        <v>0</v>
      </c>
      <c r="AS19" s="351"/>
      <c r="AT19" s="351"/>
      <c r="AU19" s="351"/>
      <c r="AV19" s="351"/>
      <c r="AW19" s="351">
        <f t="shared" si="28"/>
        <v>-1103.8576377490033</v>
      </c>
      <c r="AX19" s="351"/>
      <c r="AY19" s="351">
        <f t="shared" si="29"/>
        <v>-1096.1423622509967</v>
      </c>
      <c r="AZ19" s="321">
        <f t="shared" si="30"/>
        <v>-29646.03303985206</v>
      </c>
      <c r="BA19" s="321">
        <f t="shared" si="31"/>
        <v>-8605.4298133415286</v>
      </c>
      <c r="BB19" s="351">
        <f t="shared" si="32"/>
        <v>-29646.03303985206</v>
      </c>
      <c r="BC19" s="351">
        <f t="shared" si="33"/>
        <v>15.715275498006349</v>
      </c>
      <c r="BD19" s="351"/>
      <c r="BE19" s="351"/>
      <c r="BF19" s="351">
        <f t="shared" si="34"/>
        <v>-31156.530360071796</v>
      </c>
      <c r="BG19" s="352">
        <f t="shared" si="35"/>
        <v>11526.531661818783</v>
      </c>
      <c r="BI19" s="302">
        <f t="shared" si="36"/>
        <v>8.3626851056576301E-2</v>
      </c>
      <c r="BJ19" s="302">
        <f t="shared" si="37"/>
        <v>0.25826164856711564</v>
      </c>
      <c r="BK19" s="302">
        <f t="shared" si="38"/>
        <v>4.7914656195109711</v>
      </c>
      <c r="BL19" s="343">
        <f t="shared" si="39"/>
        <v>14.797302472986612</v>
      </c>
      <c r="BV19" s="203"/>
      <c r="BW19" s="203"/>
      <c r="BX19" s="203"/>
      <c r="BY19" s="203"/>
      <c r="CH19" s="202"/>
      <c r="CI19" s="216"/>
      <c r="CJ19" s="216"/>
      <c r="CK19" s="216"/>
      <c r="CL19" s="216"/>
      <c r="CM19" s="216"/>
      <c r="CN19" s="216"/>
      <c r="CO19" s="216"/>
      <c r="CP19" s="216"/>
      <c r="CQ19" s="216"/>
      <c r="CR19" s="216"/>
      <c r="CS19" s="216"/>
      <c r="CT19" s="216"/>
      <c r="CU19" s="216"/>
      <c r="CV19" s="216"/>
      <c r="CW19" s="216"/>
      <c r="CX19" s="237"/>
      <c r="CY19" s="237"/>
      <c r="CZ19" s="237"/>
      <c r="DM19" s="203"/>
    </row>
    <row r="20" spans="2:117" x14ac:dyDescent="0.25">
      <c r="B20" s="323">
        <f t="shared" si="40"/>
        <v>1104</v>
      </c>
      <c r="C20" s="324">
        <f t="shared" si="0"/>
        <v>2316.0002835023806</v>
      </c>
      <c r="D20" s="234">
        <f t="shared" si="1"/>
        <v>28105.347653882451</v>
      </c>
      <c r="E20" s="225"/>
      <c r="F20" s="346">
        <f t="shared" si="2"/>
        <v>3380.0260354026864</v>
      </c>
      <c r="G20" s="318">
        <f t="shared" si="41"/>
        <v>368</v>
      </c>
      <c r="H20" s="318">
        <f t="shared" si="42"/>
        <v>3380.0260354026864</v>
      </c>
      <c r="I20" s="318">
        <f>0</f>
        <v>0</v>
      </c>
      <c r="J20" s="318">
        <f>0</f>
        <v>0</v>
      </c>
      <c r="K20" s="318">
        <f t="shared" si="3"/>
        <v>368</v>
      </c>
      <c r="L20" s="318">
        <f t="shared" si="4"/>
        <v>3380.0260354026864</v>
      </c>
      <c r="M20" s="318">
        <f t="shared" si="5"/>
        <v>736</v>
      </c>
      <c r="N20" s="321">
        <f>0</f>
        <v>0</v>
      </c>
      <c r="O20" s="321">
        <f t="shared" si="6"/>
        <v>736</v>
      </c>
      <c r="P20" s="321">
        <f t="shared" si="7"/>
        <v>3380.0260354026864</v>
      </c>
      <c r="Q20" s="279">
        <f t="shared" si="8"/>
        <v>1104</v>
      </c>
      <c r="R20" s="279">
        <f>0</f>
        <v>0</v>
      </c>
      <c r="S20" s="321">
        <f t="shared" si="9"/>
        <v>1104</v>
      </c>
      <c r="T20" s="318">
        <f t="shared" si="10"/>
        <v>1690.0130177013432</v>
      </c>
      <c r="U20" s="318">
        <f t="shared" si="11"/>
        <v>184</v>
      </c>
      <c r="V20" s="320">
        <f t="shared" si="12"/>
        <v>1690.0130177013432</v>
      </c>
      <c r="W20" s="320">
        <f>P/2</f>
        <v>552</v>
      </c>
      <c r="X20" s="320">
        <f t="shared" si="14"/>
        <v>1690.0130177013432</v>
      </c>
      <c r="Y20" s="320">
        <f t="shared" si="15"/>
        <v>920</v>
      </c>
      <c r="Z20" s="318">
        <f t="shared" si="43"/>
        <v>585.65165330635637</v>
      </c>
      <c r="AA20" s="320">
        <f t="shared" si="16"/>
        <v>900.35370692360846</v>
      </c>
      <c r="AB20" s="318">
        <f t="shared" si="17"/>
        <v>2794.3743820963305</v>
      </c>
      <c r="AC20" s="320">
        <f t="shared" si="18"/>
        <v>203.6462930763916</v>
      </c>
      <c r="AD20" s="320">
        <f t="shared" si="44"/>
        <v>1690.0130177013432</v>
      </c>
      <c r="AE20" s="320">
        <f t="shared" si="19"/>
        <v>1690.0130177013432</v>
      </c>
      <c r="AF20" s="320">
        <f>p_*Xi/AI - q*Yi/AI</f>
        <v>1690.0130177013432</v>
      </c>
      <c r="AG20" s="320">
        <f>Xd +r_*Xi/AI + s*Yi/AI</f>
        <v>1690.0130177013432</v>
      </c>
      <c r="AH20" s="320">
        <f>p_*Xi/AI - q*Yi/AI</f>
        <v>1690.0130177013432</v>
      </c>
      <c r="AI20" s="347">
        <f>Xd +r_*Xi/AI + s*Yi/AI</f>
        <v>1690.0130177013432</v>
      </c>
      <c r="AK20" s="321">
        <f t="shared" si="20"/>
        <v>25612.97541341103</v>
      </c>
      <c r="AL20" s="321">
        <f t="shared" si="21"/>
        <v>-1072.8901900210058</v>
      </c>
      <c r="AM20" s="351">
        <f t="shared" si="22"/>
        <v>-22824.360592325203</v>
      </c>
      <c r="AN20" s="351">
        <f t="shared" si="23"/>
        <v>1391.500352608801</v>
      </c>
      <c r="AO20" s="351">
        <f t="shared" si="24"/>
        <v>-7159.0240874938809</v>
      </c>
      <c r="AP20" s="351">
        <f t="shared" si="25"/>
        <v>22824.360592325203</v>
      </c>
      <c r="AQ20" s="351">
        <f t="shared" si="26"/>
        <v>1378.499647391199</v>
      </c>
      <c r="AR20" s="351">
        <f t="shared" si="27"/>
        <v>0</v>
      </c>
      <c r="AS20" s="351"/>
      <c r="AT20" s="351"/>
      <c r="AU20" s="351"/>
      <c r="AV20" s="351"/>
      <c r="AW20" s="351">
        <f t="shared" si="28"/>
        <v>-1106.500352608801</v>
      </c>
      <c r="AX20" s="351"/>
      <c r="AY20" s="351">
        <f t="shared" si="29"/>
        <v>-1093.499647391199</v>
      </c>
      <c r="AZ20" s="321">
        <f t="shared" si="30"/>
        <v>-22824.360592325203</v>
      </c>
      <c r="BA20" s="321">
        <f t="shared" si="31"/>
        <v>-8821.5237348850806</v>
      </c>
      <c r="BB20" s="351">
        <f t="shared" si="32"/>
        <v>-22824.360592325203</v>
      </c>
      <c r="BC20" s="351">
        <f t="shared" si="33"/>
        <v>21.00070521760199</v>
      </c>
      <c r="BD20" s="351"/>
      <c r="BE20" s="351"/>
      <c r="BF20" s="351">
        <f t="shared" si="34"/>
        <v>-25612.97541341103</v>
      </c>
      <c r="BG20" s="352">
        <f t="shared" si="35"/>
        <v>11570.914277514887</v>
      </c>
      <c r="BI20" s="302">
        <f t="shared" si="36"/>
        <v>0.10844774322844671</v>
      </c>
      <c r="BJ20" s="302">
        <f t="shared" si="37"/>
        <v>0.30555608033377779</v>
      </c>
      <c r="BK20" s="302">
        <f t="shared" si="38"/>
        <v>6.213597984708449</v>
      </c>
      <c r="BL20" s="343">
        <f t="shared" si="39"/>
        <v>17.507073807685803</v>
      </c>
      <c r="BV20" s="203"/>
      <c r="BW20" s="203"/>
      <c r="BX20" s="203"/>
      <c r="BY20" s="203"/>
      <c r="CH20" s="202"/>
      <c r="CI20" s="216"/>
      <c r="CJ20" s="216"/>
      <c r="CK20" s="216"/>
      <c r="CL20" s="216"/>
      <c r="CM20" s="216"/>
      <c r="CN20" s="216"/>
      <c r="CO20" s="216"/>
      <c r="CP20" s="216"/>
      <c r="CQ20" s="216"/>
      <c r="CR20" s="216"/>
      <c r="CS20" s="216"/>
      <c r="CT20" s="216"/>
      <c r="CU20" s="216"/>
      <c r="CV20" s="216"/>
      <c r="CW20" s="216"/>
      <c r="DM20" s="203"/>
    </row>
    <row r="21" spans="2:117" ht="12.75" customHeight="1" x14ac:dyDescent="0.25">
      <c r="B21" s="323">
        <f t="shared" si="40"/>
        <v>1356</v>
      </c>
      <c r="C21" s="324">
        <f t="shared" si="0"/>
        <v>2350.9188819209639</v>
      </c>
      <c r="D21" s="234">
        <f t="shared" si="1"/>
        <v>24685.405289111928</v>
      </c>
      <c r="E21" s="225"/>
      <c r="F21" s="346">
        <f t="shared" si="2"/>
        <v>3369.8213602504215</v>
      </c>
      <c r="G21" s="318">
        <f t="shared" si="41"/>
        <v>452</v>
      </c>
      <c r="H21" s="318">
        <f t="shared" si="42"/>
        <v>3369.8213602504215</v>
      </c>
      <c r="I21" s="318">
        <f>0</f>
        <v>0</v>
      </c>
      <c r="J21" s="318">
        <f>0</f>
        <v>0</v>
      </c>
      <c r="K21" s="318">
        <f t="shared" si="3"/>
        <v>452</v>
      </c>
      <c r="L21" s="318">
        <f t="shared" si="4"/>
        <v>3369.8213602504215</v>
      </c>
      <c r="M21" s="318">
        <f t="shared" si="5"/>
        <v>904</v>
      </c>
      <c r="N21" s="321">
        <f>0</f>
        <v>0</v>
      </c>
      <c r="O21" s="321">
        <f t="shared" si="6"/>
        <v>904</v>
      </c>
      <c r="P21" s="321">
        <f t="shared" si="7"/>
        <v>3369.8213602504215</v>
      </c>
      <c r="Q21" s="279">
        <f t="shared" si="8"/>
        <v>1356</v>
      </c>
      <c r="R21" s="279">
        <f>0</f>
        <v>0</v>
      </c>
      <c r="S21" s="321">
        <f t="shared" si="9"/>
        <v>1356</v>
      </c>
      <c r="T21" s="318">
        <f t="shared" si="10"/>
        <v>1684.9106801252108</v>
      </c>
      <c r="U21" s="318">
        <f t="shared" si="11"/>
        <v>226</v>
      </c>
      <c r="V21" s="320">
        <f t="shared" si="12"/>
        <v>1684.9106801252108</v>
      </c>
      <c r="W21" s="320">
        <f t="shared" si="13"/>
        <v>678</v>
      </c>
      <c r="X21" s="320">
        <f t="shared" si="14"/>
        <v>1684.9106801252108</v>
      </c>
      <c r="Y21" s="320">
        <f t="shared" si="15"/>
        <v>1130</v>
      </c>
      <c r="Z21" s="318">
        <f t="shared" si="43"/>
        <v>581.38024004419208</v>
      </c>
      <c r="AA21" s="320">
        <f t="shared" si="16"/>
        <v>1082.8770988308947</v>
      </c>
      <c r="AB21" s="318">
        <f t="shared" si="17"/>
        <v>2788.4411202062297</v>
      </c>
      <c r="AC21" s="320">
        <f t="shared" si="18"/>
        <v>273.12290116910526</v>
      </c>
      <c r="AD21" s="320">
        <f t="shared" si="44"/>
        <v>1684.9106801252108</v>
      </c>
      <c r="AE21" s="320">
        <f t="shared" si="19"/>
        <v>1684.9106801252108</v>
      </c>
      <c r="AF21" s="320">
        <f>p_*Xi/AI - q*Yi/AI</f>
        <v>1684.9106801252108</v>
      </c>
      <c r="AG21" s="320">
        <f>Xd +r_*Xi/AI + s*Yi/AI</f>
        <v>1684.9106801252108</v>
      </c>
      <c r="AH21" s="320">
        <f>p_*Xi/AI - q*Yi/AI</f>
        <v>1684.9106801252108</v>
      </c>
      <c r="AI21" s="347">
        <f>Xd +r_*Xi/AI + s*Yi/AI</f>
        <v>1684.9106801252108</v>
      </c>
      <c r="AK21" s="321">
        <f t="shared" si="20"/>
        <v>21782.816539500134</v>
      </c>
      <c r="AL21" s="321">
        <f t="shared" si="21"/>
        <v>-943.08404864513977</v>
      </c>
      <c r="AM21" s="351">
        <f t="shared" si="22"/>
        <v>-18526.562124385615</v>
      </c>
      <c r="AN21" s="351">
        <f t="shared" si="23"/>
        <v>1394.8511167731656</v>
      </c>
      <c r="AO21" s="351">
        <f t="shared" si="24"/>
        <v>-7331.620695931183</v>
      </c>
      <c r="AP21" s="351">
        <f t="shared" si="25"/>
        <v>18526.562124385615</v>
      </c>
      <c r="AQ21" s="351">
        <f t="shared" si="26"/>
        <v>1375.1488832268344</v>
      </c>
      <c r="AR21" s="351">
        <f t="shared" si="27"/>
        <v>0</v>
      </c>
      <c r="AS21" s="351"/>
      <c r="AT21" s="351"/>
      <c r="AU21" s="351"/>
      <c r="AV21" s="351"/>
      <c r="AW21" s="351">
        <f t="shared" si="28"/>
        <v>-1109.851116773166</v>
      </c>
      <c r="AX21" s="351"/>
      <c r="AY21" s="351">
        <f t="shared" si="29"/>
        <v>-1090.148883226834</v>
      </c>
      <c r="AZ21" s="321">
        <f t="shared" si="30"/>
        <v>-18526.562124385615</v>
      </c>
      <c r="BA21" s="321">
        <f t="shared" si="31"/>
        <v>-8990.7695791580172</v>
      </c>
      <c r="BB21" s="351">
        <f t="shared" si="32"/>
        <v>-18526.562124385615</v>
      </c>
      <c r="BC21" s="351">
        <f t="shared" si="33"/>
        <v>27.702233546331627</v>
      </c>
      <c r="BD21" s="351"/>
      <c r="BE21" s="351"/>
      <c r="BF21" s="351">
        <f t="shared" si="34"/>
        <v>-21782.816539500134</v>
      </c>
      <c r="BG21" s="352">
        <f t="shared" si="35"/>
        <v>11613.704744576322</v>
      </c>
      <c r="BI21" s="302">
        <f t="shared" si="36"/>
        <v>0.13333591005230547</v>
      </c>
      <c r="BJ21" s="302">
        <f t="shared" si="37"/>
        <v>0.35164389441048027</v>
      </c>
      <c r="BK21" s="302">
        <f t="shared" si="38"/>
        <v>7.6395849035330707</v>
      </c>
      <c r="BL21" s="343">
        <f t="shared" si="39"/>
        <v>20.147711041264479</v>
      </c>
      <c r="BV21" s="203"/>
      <c r="BW21" s="203"/>
      <c r="BX21" s="203"/>
      <c r="BY21" s="203"/>
      <c r="CH21" s="202"/>
      <c r="CI21" s="216"/>
      <c r="CJ21" s="216"/>
      <c r="CK21" s="216"/>
      <c r="CL21" s="216"/>
      <c r="CM21" s="216"/>
      <c r="CN21" s="216"/>
      <c r="CO21" s="216"/>
      <c r="CP21" s="216"/>
      <c r="CQ21" s="216"/>
      <c r="CR21" s="216"/>
      <c r="CS21" s="216"/>
      <c r="CT21" s="216"/>
      <c r="CU21" s="216"/>
      <c r="CV21" s="216"/>
      <c r="CW21" s="216"/>
      <c r="DM21" s="203"/>
    </row>
    <row r="22" spans="2:117" x14ac:dyDescent="0.25">
      <c r="B22" s="323">
        <f t="shared" si="40"/>
        <v>1608</v>
      </c>
      <c r="C22" s="324">
        <f t="shared" si="0"/>
        <v>2389.3581633004201</v>
      </c>
      <c r="D22" s="234">
        <f t="shared" si="1"/>
        <v>22278.5206559912</v>
      </c>
      <c r="E22" s="225"/>
      <c r="F22" s="346">
        <f t="shared" si="2"/>
        <v>3357.4847728619711</v>
      </c>
      <c r="G22" s="318">
        <f t="shared" si="41"/>
        <v>536</v>
      </c>
      <c r="H22" s="318">
        <f t="shared" si="42"/>
        <v>3357.4847728619711</v>
      </c>
      <c r="I22" s="318">
        <f>0</f>
        <v>0</v>
      </c>
      <c r="J22" s="318">
        <f>0</f>
        <v>0</v>
      </c>
      <c r="K22" s="318">
        <f t="shared" si="3"/>
        <v>536</v>
      </c>
      <c r="L22" s="318">
        <f t="shared" si="4"/>
        <v>3357.4847728619711</v>
      </c>
      <c r="M22" s="318">
        <f t="shared" si="5"/>
        <v>1072</v>
      </c>
      <c r="N22" s="321">
        <f>0</f>
        <v>0</v>
      </c>
      <c r="O22" s="321">
        <f t="shared" si="6"/>
        <v>1072</v>
      </c>
      <c r="P22" s="321">
        <f t="shared" si="7"/>
        <v>3357.4847728619711</v>
      </c>
      <c r="Q22" s="279">
        <f t="shared" si="8"/>
        <v>1608</v>
      </c>
      <c r="R22" s="279">
        <f>0</f>
        <v>0</v>
      </c>
      <c r="S22" s="321">
        <f t="shared" si="9"/>
        <v>1608</v>
      </c>
      <c r="T22" s="318">
        <f t="shared" si="10"/>
        <v>1678.7423864309856</v>
      </c>
      <c r="U22" s="318">
        <f t="shared" si="11"/>
        <v>268</v>
      </c>
      <c r="V22" s="320">
        <f t="shared" si="12"/>
        <v>1678.7423864309856</v>
      </c>
      <c r="W22" s="320">
        <f t="shared" si="13"/>
        <v>804</v>
      </c>
      <c r="X22" s="320">
        <f t="shared" si="14"/>
        <v>1678.7423864309856</v>
      </c>
      <c r="Y22" s="320">
        <f t="shared" si="15"/>
        <v>1340</v>
      </c>
      <c r="Z22" s="318">
        <f t="shared" si="43"/>
        <v>576.73260697564206</v>
      </c>
      <c r="AA22" s="320">
        <f t="shared" si="16"/>
        <v>1265.3377874371167</v>
      </c>
      <c r="AB22" s="318">
        <f t="shared" si="17"/>
        <v>2780.7521658863293</v>
      </c>
      <c r="AC22" s="320">
        <f t="shared" si="18"/>
        <v>342.66221256288321</v>
      </c>
      <c r="AD22" s="320">
        <f t="shared" si="44"/>
        <v>1678.7423864309858</v>
      </c>
      <c r="AE22" s="320">
        <f t="shared" si="19"/>
        <v>1678.7423864309858</v>
      </c>
      <c r="AF22" s="320">
        <f>p_*Xi/AI - q*Yi/AI</f>
        <v>1678.7423864309858</v>
      </c>
      <c r="AG22" s="320">
        <f>Xd +r_*Xi/AI + s*Yi/AI</f>
        <v>1678.7423864309858</v>
      </c>
      <c r="AH22" s="320">
        <f>p_*Xi/AI - q*Yi/AI</f>
        <v>1678.7423864309858</v>
      </c>
      <c r="AI22" s="347">
        <f>Xd +r_*Xi/AI + s*Yi/AI</f>
        <v>1678.7423864309858</v>
      </c>
      <c r="AK22" s="321">
        <f t="shared" si="20"/>
        <v>18984.453226512273</v>
      </c>
      <c r="AL22" s="321">
        <f t="shared" si="21"/>
        <v>-838.18805153515677</v>
      </c>
      <c r="AM22" s="351">
        <f t="shared" si="22"/>
        <v>-15565.950859257458</v>
      </c>
      <c r="AN22" s="351">
        <f t="shared" si="23"/>
        <v>1398.9291025918671</v>
      </c>
      <c r="AO22" s="351">
        <f t="shared" si="24"/>
        <v>-7481.4147082210184</v>
      </c>
      <c r="AP22" s="351">
        <f t="shared" si="25"/>
        <v>15565.950859257458</v>
      </c>
      <c r="AQ22" s="351">
        <f t="shared" si="26"/>
        <v>1371.0708974081329</v>
      </c>
      <c r="AR22" s="351">
        <f t="shared" si="27"/>
        <v>0</v>
      </c>
      <c r="AS22" s="351"/>
      <c r="AT22" s="351"/>
      <c r="AU22" s="351"/>
      <c r="AV22" s="351"/>
      <c r="AW22" s="351">
        <f t="shared" si="28"/>
        <v>-1113.9291025918687</v>
      </c>
      <c r="AX22" s="351"/>
      <c r="AY22" s="351">
        <f t="shared" si="29"/>
        <v>-1086.0708974081313</v>
      </c>
      <c r="AZ22" s="321">
        <f t="shared" si="30"/>
        <v>-15565.950859257458</v>
      </c>
      <c r="BA22" s="321">
        <f t="shared" si="31"/>
        <v>-9136.4856056291519</v>
      </c>
      <c r="BB22" s="351">
        <f t="shared" si="32"/>
        <v>-15565.950859257458</v>
      </c>
      <c r="BC22" s="351">
        <f t="shared" si="33"/>
        <v>35.85820518373589</v>
      </c>
      <c r="BD22" s="351"/>
      <c r="BE22" s="351"/>
      <c r="BF22" s="351">
        <f t="shared" si="34"/>
        <v>-18984.453226512273</v>
      </c>
      <c r="BG22" s="352">
        <f t="shared" si="35"/>
        <v>11658.602759756175</v>
      </c>
      <c r="BI22" s="302">
        <f t="shared" si="36"/>
        <v>0.15830746129258577</v>
      </c>
      <c r="BJ22" s="302">
        <f t="shared" si="37"/>
        <v>0.39646550332030506</v>
      </c>
      <c r="BK22" s="302">
        <f t="shared" si="38"/>
        <v>9.0703493974958089</v>
      </c>
      <c r="BL22" s="343">
        <f t="shared" si="39"/>
        <v>22.715800062783405</v>
      </c>
      <c r="BV22" s="203"/>
      <c r="BW22" s="203"/>
      <c r="BX22" s="203"/>
      <c r="BY22" s="203"/>
      <c r="CH22" s="202"/>
      <c r="CI22" s="216"/>
      <c r="CJ22" s="216"/>
      <c r="CK22" s="216"/>
      <c r="CL22" s="216"/>
      <c r="CM22" s="216"/>
      <c r="CN22" s="216"/>
      <c r="CO22" s="216"/>
      <c r="CP22" s="216"/>
      <c r="CQ22" s="216"/>
      <c r="CR22" s="216"/>
      <c r="CS22" s="216"/>
      <c r="CT22" s="216"/>
      <c r="CU22" s="216"/>
      <c r="CV22" s="216"/>
      <c r="CW22" s="216"/>
      <c r="DM22" s="203"/>
    </row>
    <row r="23" spans="2:117" x14ac:dyDescent="0.25">
      <c r="B23" s="323">
        <f t="shared" si="40"/>
        <v>1860</v>
      </c>
      <c r="C23" s="324">
        <f t="shared" si="0"/>
        <v>2431.1244290837017</v>
      </c>
      <c r="D23" s="234">
        <f t="shared" si="1"/>
        <v>20522.940750102167</v>
      </c>
      <c r="E23" s="225"/>
      <c r="F23" s="346">
        <f t="shared" si="2"/>
        <v>3342.9926712453321</v>
      </c>
      <c r="G23" s="318">
        <f t="shared" si="41"/>
        <v>620</v>
      </c>
      <c r="H23" s="318">
        <f t="shared" si="42"/>
        <v>3342.9926712453321</v>
      </c>
      <c r="I23" s="318">
        <f>0</f>
        <v>0</v>
      </c>
      <c r="J23" s="318">
        <f>0</f>
        <v>0</v>
      </c>
      <c r="K23" s="318">
        <f t="shared" si="3"/>
        <v>620</v>
      </c>
      <c r="L23" s="318">
        <f t="shared" si="4"/>
        <v>3342.9926712453321</v>
      </c>
      <c r="M23" s="318">
        <f t="shared" si="5"/>
        <v>1240</v>
      </c>
      <c r="N23" s="321">
        <f>0</f>
        <v>0</v>
      </c>
      <c r="O23" s="321">
        <f t="shared" si="6"/>
        <v>1240</v>
      </c>
      <c r="P23" s="321">
        <f t="shared" si="7"/>
        <v>3342.9926712453321</v>
      </c>
      <c r="Q23" s="279">
        <f t="shared" si="8"/>
        <v>1860</v>
      </c>
      <c r="R23" s="279">
        <f>0</f>
        <v>0</v>
      </c>
      <c r="S23" s="321">
        <f t="shared" si="9"/>
        <v>1860</v>
      </c>
      <c r="T23" s="318">
        <f t="shared" si="10"/>
        <v>1671.496335622666</v>
      </c>
      <c r="U23" s="318">
        <f t="shared" si="11"/>
        <v>310</v>
      </c>
      <c r="V23" s="320">
        <f t="shared" si="12"/>
        <v>1671.496335622666</v>
      </c>
      <c r="W23" s="320">
        <f t="shared" si="13"/>
        <v>930</v>
      </c>
      <c r="X23" s="320">
        <f t="shared" si="14"/>
        <v>1671.496335622666</v>
      </c>
      <c r="Y23" s="320">
        <f t="shared" si="15"/>
        <v>1550</v>
      </c>
      <c r="Z23" s="318">
        <f t="shared" si="43"/>
        <v>571.70458904329394</v>
      </c>
      <c r="AA23" s="320">
        <f t="shared" si="16"/>
        <v>1447.7350785660392</v>
      </c>
      <c r="AB23" s="318">
        <f t="shared" si="17"/>
        <v>2771.2880822020379</v>
      </c>
      <c r="AC23" s="320">
        <f t="shared" si="18"/>
        <v>412.26492143396081</v>
      </c>
      <c r="AD23" s="320">
        <f t="shared" si="44"/>
        <v>1671.496335622666</v>
      </c>
      <c r="AE23" s="320">
        <f t="shared" si="19"/>
        <v>1671.496335622666</v>
      </c>
      <c r="AF23" s="320">
        <f>p_*Xi/AI - q*Yi/AI</f>
        <v>1671.496335622666</v>
      </c>
      <c r="AG23" s="320">
        <f>Xd +r_*Xi/AI + s*Yi/AI</f>
        <v>1671.496335622666</v>
      </c>
      <c r="AH23" s="320">
        <f>p_*Xi/AI - q*Yi/AI</f>
        <v>1671.496335622666</v>
      </c>
      <c r="AI23" s="347">
        <f>Xd +r_*Xi/AI + s*Yi/AI</f>
        <v>1671.496335622666</v>
      </c>
      <c r="AK23" s="321">
        <f t="shared" si="20"/>
        <v>16855.836545156526</v>
      </c>
      <c r="AL23" s="321">
        <f t="shared" si="21"/>
        <v>-747.63135820839489</v>
      </c>
      <c r="AM23" s="351">
        <f t="shared" si="22"/>
        <v>-13398.930303297822</v>
      </c>
      <c r="AN23" s="351">
        <f t="shared" si="23"/>
        <v>1403.7580613530858</v>
      </c>
      <c r="AO23" s="351">
        <f t="shared" si="24"/>
        <v>-7621.1383437959066</v>
      </c>
      <c r="AP23" s="351">
        <f t="shared" si="25"/>
        <v>13398.930303297822</v>
      </c>
      <c r="AQ23" s="351">
        <f t="shared" si="26"/>
        <v>1366.2419386469142</v>
      </c>
      <c r="AR23" s="351">
        <f t="shared" si="27"/>
        <v>0</v>
      </c>
      <c r="AS23" s="351"/>
      <c r="AT23" s="351"/>
      <c r="AU23" s="351"/>
      <c r="AV23" s="351"/>
      <c r="AW23" s="351">
        <f t="shared" si="28"/>
        <v>-1118.7580613530854</v>
      </c>
      <c r="AX23" s="351"/>
      <c r="AY23" s="351">
        <f t="shared" si="29"/>
        <v>-1081.2419386469146</v>
      </c>
      <c r="AZ23" s="321">
        <f t="shared" si="30"/>
        <v>-13398.930303297822</v>
      </c>
      <c r="BA23" s="321">
        <f t="shared" si="31"/>
        <v>-9271.3802824428203</v>
      </c>
      <c r="BB23" s="351">
        <f t="shared" si="32"/>
        <v>-13398.930303297822</v>
      </c>
      <c r="BC23" s="351">
        <f t="shared" si="33"/>
        <v>45.516122706171245</v>
      </c>
      <c r="BD23" s="351"/>
      <c r="BE23" s="351"/>
      <c r="BF23" s="351">
        <f t="shared" si="34"/>
        <v>-16855.836545156526</v>
      </c>
      <c r="BG23" s="352">
        <f t="shared" si="35"/>
        <v>11707.769702004302</v>
      </c>
      <c r="BI23" s="302">
        <f t="shared" si="36"/>
        <v>0.18337898808582401</v>
      </c>
      <c r="BJ23" s="302">
        <f t="shared" si="37"/>
        <v>0.43998105010027233</v>
      </c>
      <c r="BK23" s="302">
        <f t="shared" si="38"/>
        <v>10.506842068697523</v>
      </c>
      <c r="BL23" s="343">
        <f t="shared" si="39"/>
        <v>25.20905723647963</v>
      </c>
      <c r="BV23" s="203"/>
      <c r="BW23" s="203"/>
      <c r="BX23" s="203"/>
      <c r="BY23" s="203"/>
      <c r="CH23" s="202"/>
      <c r="CI23" s="216"/>
      <c r="CJ23" s="216"/>
      <c r="CK23" s="216"/>
      <c r="CL23" s="216"/>
      <c r="CM23" s="216"/>
      <c r="CN23" s="216"/>
      <c r="CO23" s="216"/>
      <c r="CP23" s="216"/>
      <c r="CQ23" s="216"/>
      <c r="CR23" s="216"/>
      <c r="CS23" s="216"/>
      <c r="CT23" s="216"/>
      <c r="CU23" s="216"/>
      <c r="CV23" s="216"/>
      <c r="CW23" s="216"/>
      <c r="DM23" s="203"/>
    </row>
    <row r="24" spans="2:117" x14ac:dyDescent="0.25">
      <c r="B24" s="323">
        <f t="shared" si="40"/>
        <v>2112</v>
      </c>
      <c r="C24" s="324">
        <f t="shared" si="0"/>
        <v>2476.022573544501</v>
      </c>
      <c r="D24" s="234">
        <f t="shared" si="1"/>
        <v>19209.460052745966</v>
      </c>
      <c r="E24" s="225"/>
      <c r="F24" s="346">
        <f t="shared" si="2"/>
        <v>3326.3168820784344</v>
      </c>
      <c r="G24" s="318">
        <f t="shared" si="41"/>
        <v>704</v>
      </c>
      <c r="H24" s="318">
        <f t="shared" si="42"/>
        <v>3326.3168820784344</v>
      </c>
      <c r="I24" s="318">
        <f>0</f>
        <v>0</v>
      </c>
      <c r="J24" s="318">
        <f>0</f>
        <v>0</v>
      </c>
      <c r="K24" s="318">
        <f t="shared" si="3"/>
        <v>704</v>
      </c>
      <c r="L24" s="318">
        <f t="shared" si="4"/>
        <v>3326.3168820784344</v>
      </c>
      <c r="M24" s="318">
        <f t="shared" si="5"/>
        <v>1408</v>
      </c>
      <c r="N24" s="321">
        <f>0</f>
        <v>0</v>
      </c>
      <c r="O24" s="321">
        <f t="shared" si="6"/>
        <v>1408</v>
      </c>
      <c r="P24" s="321">
        <f t="shared" si="7"/>
        <v>3326.3168820784344</v>
      </c>
      <c r="Q24" s="279">
        <f t="shared" si="8"/>
        <v>2112</v>
      </c>
      <c r="R24" s="279">
        <f>0</f>
        <v>0</v>
      </c>
      <c r="S24" s="321">
        <f t="shared" si="9"/>
        <v>2112</v>
      </c>
      <c r="T24" s="318">
        <f t="shared" si="10"/>
        <v>1663.1584410392172</v>
      </c>
      <c r="U24" s="318">
        <f t="shared" si="11"/>
        <v>352</v>
      </c>
      <c r="V24" s="320">
        <f t="shared" si="12"/>
        <v>1663.1584410392172</v>
      </c>
      <c r="W24" s="320">
        <f t="shared" si="13"/>
        <v>1056</v>
      </c>
      <c r="X24" s="320">
        <f t="shared" si="14"/>
        <v>1663.1584410392172</v>
      </c>
      <c r="Y24" s="320">
        <f t="shared" si="15"/>
        <v>1760</v>
      </c>
      <c r="Z24" s="318">
        <f t="shared" si="43"/>
        <v>566.29121448442959</v>
      </c>
      <c r="AA24" s="320">
        <f t="shared" si="16"/>
        <v>1630.0681435905421</v>
      </c>
      <c r="AB24" s="318">
        <f t="shared" si="17"/>
        <v>2760.025667594005</v>
      </c>
      <c r="AC24" s="320">
        <f t="shared" si="18"/>
        <v>481.93185640945779</v>
      </c>
      <c r="AD24" s="320">
        <f t="shared" si="44"/>
        <v>1663.1584410392172</v>
      </c>
      <c r="AE24" s="320">
        <f t="shared" si="19"/>
        <v>1663.1584410392172</v>
      </c>
      <c r="AF24" s="320">
        <f>p_*Xi/AI - q*Yi/AI</f>
        <v>1663.1584410392172</v>
      </c>
      <c r="AG24" s="320">
        <f>Xd +r_*Xi/AI + s*Yi/AI</f>
        <v>1663.1584410392172</v>
      </c>
      <c r="AH24" s="320">
        <f>p_*Xi/AI - q*Yi/AI</f>
        <v>1663.1584410392172</v>
      </c>
      <c r="AI24" s="347">
        <f>Xd +r_*Xi/AI + s*Yi/AI</f>
        <v>1663.1584410392172</v>
      </c>
      <c r="AK24" s="321">
        <f t="shared" si="20"/>
        <v>15186.922566878715</v>
      </c>
      <c r="AL24" s="321">
        <f t="shared" si="21"/>
        <v>-665.12289762996625</v>
      </c>
      <c r="AM24" s="351">
        <f t="shared" si="22"/>
        <v>-11741.3316079047</v>
      </c>
      <c r="AN24" s="351">
        <f t="shared" si="23"/>
        <v>1409.3667192835453</v>
      </c>
      <c r="AO24" s="351">
        <f t="shared" si="24"/>
        <v>-7758.5612546234242</v>
      </c>
      <c r="AP24" s="351">
        <f t="shared" si="25"/>
        <v>11741.3316079047</v>
      </c>
      <c r="AQ24" s="351">
        <f t="shared" si="26"/>
        <v>1360.6332807164547</v>
      </c>
      <c r="AR24" s="351">
        <f t="shared" si="27"/>
        <v>0</v>
      </c>
      <c r="AS24" s="351"/>
      <c r="AT24" s="351"/>
      <c r="AU24" s="351"/>
      <c r="AV24" s="351"/>
      <c r="AW24" s="351">
        <f t="shared" si="28"/>
        <v>-1124.3667192835451</v>
      </c>
      <c r="AX24" s="351"/>
      <c r="AY24" s="351">
        <f t="shared" si="29"/>
        <v>-1075.6332807164549</v>
      </c>
      <c r="AZ24" s="321">
        <f t="shared" si="30"/>
        <v>-11741.3316079047</v>
      </c>
      <c r="BA24" s="321">
        <f t="shared" si="31"/>
        <v>-9403.1945353398787</v>
      </c>
      <c r="BB24" s="351">
        <f t="shared" si="32"/>
        <v>-11741.3316079047</v>
      </c>
      <c r="BC24" s="351">
        <f t="shared" si="33"/>
        <v>56.733438567090388</v>
      </c>
      <c r="BD24" s="351"/>
      <c r="BE24" s="351"/>
      <c r="BF24" s="351">
        <f t="shared" si="34"/>
        <v>-15186.922566878715</v>
      </c>
      <c r="BG24" s="352">
        <f t="shared" si="35"/>
        <v>11762.68415225339</v>
      </c>
      <c r="BI24" s="302">
        <f t="shared" si="36"/>
        <v>0.20856767006064009</v>
      </c>
      <c r="BJ24" s="302">
        <f t="shared" si="37"/>
        <v>0.48216887137540332</v>
      </c>
      <c r="BK24" s="302">
        <f t="shared" si="38"/>
        <v>11.950047237351736</v>
      </c>
      <c r="BL24" s="343">
        <f t="shared" si="39"/>
        <v>27.62624134239686</v>
      </c>
      <c r="BV24" s="203"/>
      <c r="BW24" s="203"/>
      <c r="BX24" s="203"/>
      <c r="BY24" s="203"/>
      <c r="CH24" s="202"/>
      <c r="CI24" s="216"/>
      <c r="CJ24" s="216"/>
      <c r="CK24" s="216"/>
      <c r="CL24" s="216"/>
      <c r="CM24" s="216"/>
      <c r="CN24" s="216"/>
      <c r="CO24" s="216"/>
      <c r="CP24" s="216"/>
      <c r="CQ24" s="216"/>
      <c r="CR24" s="216"/>
      <c r="CS24" s="216"/>
      <c r="CT24" s="216"/>
      <c r="CU24" s="216"/>
      <c r="CV24" s="216"/>
      <c r="CW24" s="216"/>
      <c r="DM24" s="203"/>
    </row>
    <row r="25" spans="2:117" ht="12.75" customHeight="1" x14ac:dyDescent="0.25">
      <c r="B25" s="323">
        <f t="shared" si="40"/>
        <v>2364</v>
      </c>
      <c r="C25" s="324">
        <f t="shared" si="0"/>
        <v>2523.8585962038132</v>
      </c>
      <c r="D25" s="234">
        <f t="shared" si="1"/>
        <v>18209.168620235905</v>
      </c>
      <c r="E25" s="225"/>
      <c r="F25" s="346">
        <f t="shared" si="2"/>
        <v>3307.424375552675</v>
      </c>
      <c r="G25" s="318">
        <f t="shared" si="41"/>
        <v>788</v>
      </c>
      <c r="H25" s="318">
        <f t="shared" si="42"/>
        <v>3307.424375552675</v>
      </c>
      <c r="I25" s="318">
        <f>0</f>
        <v>0</v>
      </c>
      <c r="J25" s="318">
        <f>0</f>
        <v>0</v>
      </c>
      <c r="K25" s="318">
        <f t="shared" si="3"/>
        <v>788</v>
      </c>
      <c r="L25" s="318">
        <f t="shared" si="4"/>
        <v>3307.424375552675</v>
      </c>
      <c r="M25" s="318">
        <f t="shared" si="5"/>
        <v>1576</v>
      </c>
      <c r="N25" s="321">
        <f>0</f>
        <v>0</v>
      </c>
      <c r="O25" s="321">
        <f t="shared" si="6"/>
        <v>1576</v>
      </c>
      <c r="P25" s="321">
        <f t="shared" si="7"/>
        <v>3307.424375552675</v>
      </c>
      <c r="Q25" s="279">
        <f t="shared" si="8"/>
        <v>2364</v>
      </c>
      <c r="R25" s="279">
        <f>0</f>
        <v>0</v>
      </c>
      <c r="S25" s="321">
        <f t="shared" si="9"/>
        <v>2364</v>
      </c>
      <c r="T25" s="318">
        <f t="shared" si="10"/>
        <v>1653.7121877763375</v>
      </c>
      <c r="U25" s="318">
        <f t="shared" si="11"/>
        <v>394</v>
      </c>
      <c r="V25" s="320">
        <f t="shared" si="12"/>
        <v>1653.7121877763375</v>
      </c>
      <c r="W25" s="320">
        <f t="shared" si="13"/>
        <v>1182</v>
      </c>
      <c r="X25" s="320">
        <f t="shared" si="14"/>
        <v>1653.7121877763375</v>
      </c>
      <c r="Y25" s="320">
        <f t="shared" si="15"/>
        <v>1970</v>
      </c>
      <c r="Z25" s="318">
        <f t="shared" si="43"/>
        <v>560.4866545092957</v>
      </c>
      <c r="AA25" s="320">
        <f t="shared" si="16"/>
        <v>1812.336011045667</v>
      </c>
      <c r="AB25" s="318">
        <f t="shared" si="17"/>
        <v>2746.937721043379</v>
      </c>
      <c r="AC25" s="320">
        <f t="shared" si="18"/>
        <v>551.66398895433304</v>
      </c>
      <c r="AD25" s="320">
        <f t="shared" si="44"/>
        <v>1653.7121877763375</v>
      </c>
      <c r="AE25" s="320">
        <f t="shared" si="19"/>
        <v>1653.7121877763375</v>
      </c>
      <c r="AF25" s="320">
        <f>p_*Xi/AI - q*Yi/AI</f>
        <v>1653.7121877763375</v>
      </c>
      <c r="AG25" s="320">
        <f>Xd +r_*Xi/AI + s*Yi/AI</f>
        <v>1653.7121877763375</v>
      </c>
      <c r="AH25" s="320">
        <f>p_*Xi/AI - q*Yi/AI</f>
        <v>1653.7121877763375</v>
      </c>
      <c r="AI25" s="347">
        <f>Xd +r_*Xi/AI + s*Yi/AI</f>
        <v>1653.7121877763375</v>
      </c>
      <c r="AK25" s="321">
        <f t="shared" si="20"/>
        <v>13847.548470755813</v>
      </c>
      <c r="AL25" s="321">
        <f t="shared" si="21"/>
        <v>-586.58513072361711</v>
      </c>
      <c r="AM25" s="351">
        <f t="shared" si="22"/>
        <v>-10430.139052345683</v>
      </c>
      <c r="AN25" s="351">
        <f t="shared" si="23"/>
        <v>1415.7892714478273</v>
      </c>
      <c r="AO25" s="351">
        <f t="shared" si="24"/>
        <v>-7898.9327533278192</v>
      </c>
      <c r="AP25" s="351">
        <f t="shared" si="25"/>
        <v>10430.139052345683</v>
      </c>
      <c r="AQ25" s="351">
        <f t="shared" si="26"/>
        <v>1354.2107285521727</v>
      </c>
      <c r="AR25" s="351">
        <f t="shared" si="27"/>
        <v>0</v>
      </c>
      <c r="AS25" s="351"/>
      <c r="AT25" s="351"/>
      <c r="AU25" s="351"/>
      <c r="AV25" s="351"/>
      <c r="AW25" s="351">
        <f t="shared" si="28"/>
        <v>-1130.7892714478289</v>
      </c>
      <c r="AX25" s="351"/>
      <c r="AY25" s="351">
        <f t="shared" si="29"/>
        <v>-1069.2107285521711</v>
      </c>
      <c r="AZ25" s="321">
        <f t="shared" si="30"/>
        <v>-10430.139052345683</v>
      </c>
      <c r="BA25" s="321">
        <f t="shared" si="31"/>
        <v>-9537.1434818799917</v>
      </c>
      <c r="BB25" s="351">
        <f t="shared" si="32"/>
        <v>-10430.139052345683</v>
      </c>
      <c r="BC25" s="351">
        <f t="shared" si="33"/>
        <v>69.578542895656255</v>
      </c>
      <c r="BD25" s="351"/>
      <c r="BE25" s="351"/>
      <c r="BF25" s="351">
        <f t="shared" si="34"/>
        <v>-13847.548470755813</v>
      </c>
      <c r="BG25" s="352">
        <f t="shared" si="35"/>
        <v>11824.517884051436</v>
      </c>
      <c r="BI25" s="302">
        <f t="shared" si="36"/>
        <v>0.23389139242288798</v>
      </c>
      <c r="BJ25" s="302">
        <f t="shared" si="37"/>
        <v>0.52302364972640847</v>
      </c>
      <c r="BK25" s="302">
        <f t="shared" si="38"/>
        <v>13.400989650269603</v>
      </c>
      <c r="BL25" s="343">
        <f t="shared" si="39"/>
        <v>29.967047714851898</v>
      </c>
      <c r="BV25" s="203"/>
      <c r="BW25" s="203"/>
      <c r="BX25" s="203"/>
      <c r="BY25" s="203"/>
      <c r="CH25" s="202"/>
      <c r="CI25" s="216"/>
      <c r="CJ25" s="216"/>
      <c r="CK25" s="216"/>
      <c r="CL25" s="216"/>
      <c r="CM25" s="216"/>
      <c r="CN25" s="216"/>
      <c r="CO25" s="216"/>
      <c r="CP25" s="216"/>
      <c r="CQ25" s="216"/>
      <c r="CR25" s="216"/>
      <c r="CS25" s="216"/>
      <c r="CT25" s="216"/>
      <c r="CU25" s="216"/>
      <c r="CV25" s="216"/>
      <c r="CW25" s="216"/>
      <c r="DM25" s="203"/>
    </row>
    <row r="26" spans="2:117" x14ac:dyDescent="0.25">
      <c r="B26" s="323">
        <f t="shared" si="40"/>
        <v>2616</v>
      </c>
      <c r="C26" s="324">
        <f t="shared" si="0"/>
        <v>2574.4416858995392</v>
      </c>
      <c r="D26" s="234">
        <f t="shared" si="1"/>
        <v>17438.737880680736</v>
      </c>
      <c r="E26" s="225"/>
      <c r="F26" s="346">
        <f t="shared" si="2"/>
        <v>3286.2769207721981</v>
      </c>
      <c r="G26" s="318">
        <f t="shared" si="41"/>
        <v>872</v>
      </c>
      <c r="H26" s="318">
        <f t="shared" si="42"/>
        <v>3286.2769207721981</v>
      </c>
      <c r="I26" s="318">
        <f>0</f>
        <v>0</v>
      </c>
      <c r="J26" s="318">
        <f>0</f>
        <v>0</v>
      </c>
      <c r="K26" s="318">
        <f t="shared" si="3"/>
        <v>872</v>
      </c>
      <c r="L26" s="318">
        <f t="shared" si="4"/>
        <v>3286.2769207721981</v>
      </c>
      <c r="M26" s="318">
        <f t="shared" si="5"/>
        <v>1744</v>
      </c>
      <c r="N26" s="321">
        <f>0</f>
        <v>0</v>
      </c>
      <c r="O26" s="321">
        <f t="shared" si="6"/>
        <v>1744</v>
      </c>
      <c r="P26" s="321">
        <f t="shared" si="7"/>
        <v>3286.2769207721981</v>
      </c>
      <c r="Q26" s="279">
        <f t="shared" si="8"/>
        <v>2616</v>
      </c>
      <c r="R26" s="279">
        <f>0</f>
        <v>0</v>
      </c>
      <c r="S26" s="321">
        <f t="shared" si="9"/>
        <v>2616</v>
      </c>
      <c r="T26" s="318">
        <f t="shared" si="10"/>
        <v>1643.138460386099</v>
      </c>
      <c r="U26" s="318">
        <f t="shared" si="11"/>
        <v>436</v>
      </c>
      <c r="V26" s="320">
        <f t="shared" si="12"/>
        <v>1643.138460386099</v>
      </c>
      <c r="W26" s="320">
        <f t="shared" si="13"/>
        <v>1308</v>
      </c>
      <c r="X26" s="320">
        <f t="shared" si="14"/>
        <v>1643.138460386099</v>
      </c>
      <c r="Y26" s="320">
        <f t="shared" si="15"/>
        <v>2180</v>
      </c>
      <c r="Z26" s="318">
        <f t="shared" si="43"/>
        <v>554.28416248921144</v>
      </c>
      <c r="AA26" s="320">
        <f t="shared" si="16"/>
        <v>1994.5375564933001</v>
      </c>
      <c r="AB26" s="318">
        <f t="shared" si="17"/>
        <v>2731.9927582829864</v>
      </c>
      <c r="AC26" s="320">
        <f t="shared" si="18"/>
        <v>621.46244350670008</v>
      </c>
      <c r="AD26" s="320">
        <f t="shared" si="44"/>
        <v>1643.138460386099</v>
      </c>
      <c r="AE26" s="320">
        <f t="shared" si="19"/>
        <v>1643.138460386099</v>
      </c>
      <c r="AF26" s="320">
        <f>p_*Xi/AI - q*Yi/AI</f>
        <v>1643.138460386099</v>
      </c>
      <c r="AG26" s="320">
        <f>Xd +r_*Xi/AI + s*Yi/AI</f>
        <v>1643.138460386099</v>
      </c>
      <c r="AH26" s="320">
        <f>p_*Xi/AI - q*Yi/AI</f>
        <v>1643.138460386099</v>
      </c>
      <c r="AI26" s="347">
        <f>Xd +r_*Xi/AI + s*Yi/AI</f>
        <v>1643.138460386099</v>
      </c>
      <c r="AK26" s="321">
        <f t="shared" si="20"/>
        <v>12752.827079617058</v>
      </c>
      <c r="AL26" s="321">
        <f t="shared" si="21"/>
        <v>-509.1560278213492</v>
      </c>
      <c r="AM26" s="351">
        <f t="shared" si="22"/>
        <v>-9365.135490962055</v>
      </c>
      <c r="AN26" s="351">
        <f t="shared" si="23"/>
        <v>1423.0659908359719</v>
      </c>
      <c r="AO26" s="351">
        <f t="shared" si="24"/>
        <v>-8046.1695246627069</v>
      </c>
      <c r="AP26" s="351">
        <f t="shared" si="25"/>
        <v>9365.135490962055</v>
      </c>
      <c r="AQ26" s="351">
        <f t="shared" si="26"/>
        <v>1346.9340091640281</v>
      </c>
      <c r="AR26" s="351">
        <f t="shared" si="27"/>
        <v>0</v>
      </c>
      <c r="AS26" s="351"/>
      <c r="AT26" s="351"/>
      <c r="AU26" s="351"/>
      <c r="AV26" s="351"/>
      <c r="AW26" s="351">
        <f t="shared" si="28"/>
        <v>-1138.0659908359723</v>
      </c>
      <c r="AX26" s="351"/>
      <c r="AY26" s="351">
        <f t="shared" si="29"/>
        <v>-1061.9340091640277</v>
      </c>
      <c r="AZ26" s="321">
        <f t="shared" si="30"/>
        <v>-9365.135490962055</v>
      </c>
      <c r="BA26" s="321">
        <f t="shared" si="31"/>
        <v>-9677.1035338267338</v>
      </c>
      <c r="BB26" s="351">
        <f t="shared" si="32"/>
        <v>-9365.135490962055</v>
      </c>
      <c r="BC26" s="351">
        <f t="shared" si="33"/>
        <v>84.131981671944231</v>
      </c>
      <c r="BD26" s="351"/>
      <c r="BE26" s="351"/>
      <c r="BF26" s="351">
        <f t="shared" si="34"/>
        <v>-12752.827079617058</v>
      </c>
      <c r="BG26" s="352">
        <f t="shared" si="35"/>
        <v>11894.325552484055</v>
      </c>
      <c r="BI26" s="302">
        <f t="shared" si="36"/>
        <v>0.25936887539066861</v>
      </c>
      <c r="BJ26" s="302">
        <f t="shared" si="37"/>
        <v>0.56255440443319227</v>
      </c>
      <c r="BK26" s="302">
        <f t="shared" si="38"/>
        <v>14.860741896939873</v>
      </c>
      <c r="BL26" s="343">
        <f t="shared" si="39"/>
        <v>32.231993120517522</v>
      </c>
      <c r="BV26" s="203"/>
      <c r="BW26" s="203"/>
      <c r="BX26" s="203"/>
      <c r="BY26" s="203"/>
      <c r="CH26" s="202"/>
      <c r="CI26" s="216"/>
      <c r="CJ26" s="216"/>
      <c r="CK26" s="216"/>
      <c r="CL26" s="216"/>
      <c r="CM26" s="216"/>
      <c r="CN26" s="216"/>
      <c r="CO26" s="216"/>
      <c r="CP26" s="216"/>
      <c r="CQ26" s="216"/>
      <c r="CR26" s="216"/>
      <c r="CS26" s="216"/>
      <c r="CT26" s="216"/>
      <c r="CU26" s="216"/>
      <c r="CV26" s="216"/>
      <c r="CW26" s="216"/>
      <c r="DM26" s="203"/>
    </row>
    <row r="27" spans="2:117" x14ac:dyDescent="0.25">
      <c r="B27" s="323">
        <f t="shared" si="40"/>
        <v>2868</v>
      </c>
      <c r="C27" s="324">
        <f t="shared" si="0"/>
        <v>2627.5858803131723</v>
      </c>
      <c r="D27" s="234">
        <f t="shared" si="1"/>
        <v>16842.299808442662</v>
      </c>
      <c r="E27" s="225"/>
      <c r="F27" s="346">
        <f t="shared" si="2"/>
        <v>3262.8306728973844</v>
      </c>
      <c r="G27" s="318">
        <f t="shared" si="41"/>
        <v>956</v>
      </c>
      <c r="H27" s="318">
        <f t="shared" si="42"/>
        <v>3262.8306728973844</v>
      </c>
      <c r="I27" s="318">
        <f>0</f>
        <v>0</v>
      </c>
      <c r="J27" s="318">
        <f>0</f>
        <v>0</v>
      </c>
      <c r="K27" s="318">
        <f t="shared" si="3"/>
        <v>956</v>
      </c>
      <c r="L27" s="318">
        <f t="shared" si="4"/>
        <v>3262.8306728973844</v>
      </c>
      <c r="M27" s="318">
        <f t="shared" si="5"/>
        <v>1912</v>
      </c>
      <c r="N27" s="321">
        <f>0</f>
        <v>0</v>
      </c>
      <c r="O27" s="321">
        <f t="shared" si="6"/>
        <v>1912</v>
      </c>
      <c r="P27" s="321">
        <f t="shared" si="7"/>
        <v>3262.8306728973844</v>
      </c>
      <c r="Q27" s="279">
        <f t="shared" si="8"/>
        <v>2868</v>
      </c>
      <c r="R27" s="279">
        <f>0</f>
        <v>0</v>
      </c>
      <c r="S27" s="321">
        <f t="shared" si="9"/>
        <v>2868</v>
      </c>
      <c r="T27" s="318">
        <f t="shared" si="10"/>
        <v>1631.4153364486922</v>
      </c>
      <c r="U27" s="318">
        <f t="shared" si="11"/>
        <v>478</v>
      </c>
      <c r="V27" s="320">
        <f t="shared" si="12"/>
        <v>1631.4153364486922</v>
      </c>
      <c r="W27" s="320">
        <f t="shared" si="13"/>
        <v>1434</v>
      </c>
      <c r="X27" s="320">
        <f t="shared" si="14"/>
        <v>1631.4153364486922</v>
      </c>
      <c r="Y27" s="320">
        <f t="shared" si="15"/>
        <v>2390</v>
      </c>
      <c r="Z27" s="318">
        <f t="shared" si="43"/>
        <v>547.67600109953844</v>
      </c>
      <c r="AA27" s="320">
        <f t="shared" si="16"/>
        <v>2176.6714903793345</v>
      </c>
      <c r="AB27" s="318">
        <f t="shared" si="17"/>
        <v>2715.1546717978458</v>
      </c>
      <c r="AC27" s="320">
        <f t="shared" si="18"/>
        <v>691.32850962066516</v>
      </c>
      <c r="AD27" s="320">
        <f t="shared" si="44"/>
        <v>1631.4153364486922</v>
      </c>
      <c r="AE27" s="320">
        <f t="shared" si="19"/>
        <v>1631.4153364486922</v>
      </c>
      <c r="AF27" s="320">
        <f>p_*Xi/AI - q*Yi/AI</f>
        <v>1631.4153364486922</v>
      </c>
      <c r="AG27" s="320">
        <f>Xd +r_*Xi/AI + s*Yi/AI</f>
        <v>1631.4153364486922</v>
      </c>
      <c r="AH27" s="320">
        <f>p_*Xi/AI - q*Yi/AI</f>
        <v>1631.4153364486922</v>
      </c>
      <c r="AI27" s="347">
        <f>Xd +r_*Xi/AI + s*Yi/AI</f>
        <v>1631.4153364486922</v>
      </c>
      <c r="AK27" s="321">
        <f t="shared" si="20"/>
        <v>11845.109842539398</v>
      </c>
      <c r="AL27" s="321">
        <f t="shared" si="21"/>
        <v>-430.66086942134825</v>
      </c>
      <c r="AM27" s="351">
        <f t="shared" si="22"/>
        <v>-8481.3119478556491</v>
      </c>
      <c r="AN27" s="351">
        <f t="shared" si="23"/>
        <v>1431.2439749222071</v>
      </c>
      <c r="AO27" s="351">
        <f t="shared" si="24"/>
        <v>-8203.4939218458239</v>
      </c>
      <c r="AP27" s="351">
        <f t="shared" si="25"/>
        <v>8481.3119478556491</v>
      </c>
      <c r="AQ27" s="351">
        <f t="shared" si="26"/>
        <v>1338.7560250777929</v>
      </c>
      <c r="AR27" s="351">
        <f t="shared" si="27"/>
        <v>0</v>
      </c>
      <c r="AS27" s="351"/>
      <c r="AT27" s="351"/>
      <c r="AU27" s="351"/>
      <c r="AV27" s="351"/>
      <c r="AW27" s="351">
        <f t="shared" si="28"/>
        <v>-1146.2439749222078</v>
      </c>
      <c r="AX27" s="351"/>
      <c r="AY27" s="351">
        <f t="shared" si="29"/>
        <v>-1053.7560250777922</v>
      </c>
      <c r="AZ27" s="321">
        <f t="shared" si="30"/>
        <v>-8481.3119478556491</v>
      </c>
      <c r="BA27" s="321">
        <f t="shared" si="31"/>
        <v>-9826.2499469236172</v>
      </c>
      <c r="BB27" s="351">
        <f t="shared" si="32"/>
        <v>-8481.3119478556491</v>
      </c>
      <c r="BC27" s="351">
        <f t="shared" si="33"/>
        <v>100.48794984441497</v>
      </c>
      <c r="BD27" s="351"/>
      <c r="BE27" s="351"/>
      <c r="BF27" s="351">
        <f t="shared" si="34"/>
        <v>-11845.109842539398</v>
      </c>
      <c r="BG27" s="352">
        <f t="shared" si="35"/>
        <v>11973.154791267172</v>
      </c>
      <c r="BI27" s="302">
        <f t="shared" si="36"/>
        <v>0.28501981880604182</v>
      </c>
      <c r="BJ27" s="302">
        <f t="shared" si="37"/>
        <v>0.60078244633118993</v>
      </c>
      <c r="BK27" s="302">
        <f t="shared" si="38"/>
        <v>16.330432695169648</v>
      </c>
      <c r="BL27" s="343">
        <f t="shared" si="39"/>
        <v>34.422298580322071</v>
      </c>
      <c r="BV27" s="203"/>
      <c r="BW27" s="203"/>
      <c r="BX27" s="203"/>
      <c r="BY27" s="203"/>
      <c r="CH27" s="202"/>
      <c r="CI27" s="216"/>
      <c r="CJ27" s="216"/>
      <c r="CK27" s="216"/>
      <c r="CL27" s="216"/>
      <c r="CM27" s="216"/>
      <c r="CN27" s="216"/>
      <c r="CO27" s="216"/>
      <c r="CP27" s="216"/>
      <c r="CQ27" s="216"/>
      <c r="CR27" s="216"/>
      <c r="CS27" s="216"/>
      <c r="CT27" s="216"/>
      <c r="CU27" s="216"/>
      <c r="CV27" s="216"/>
      <c r="CW27" s="216"/>
      <c r="DM27" s="203"/>
    </row>
    <row r="28" spans="2:117" ht="12.75" customHeight="1" x14ac:dyDescent="0.25">
      <c r="B28" s="323">
        <f t="shared" si="40"/>
        <v>3120</v>
      </c>
      <c r="C28" s="324">
        <f t="shared" si="0"/>
        <v>2683.1113242664519</v>
      </c>
      <c r="D28" s="234">
        <f t="shared" si="1"/>
        <v>16381.353268636238</v>
      </c>
      <c r="E28" s="225"/>
      <c r="F28" s="346">
        <f t="shared" si="2"/>
        <v>3237.0356809896307</v>
      </c>
      <c r="G28" s="318">
        <f t="shared" si="41"/>
        <v>1040</v>
      </c>
      <c r="H28" s="318">
        <f t="shared" si="42"/>
        <v>3237.0356809896307</v>
      </c>
      <c r="I28" s="318">
        <f>0</f>
        <v>0</v>
      </c>
      <c r="J28" s="318">
        <f>0</f>
        <v>0</v>
      </c>
      <c r="K28" s="318">
        <f t="shared" si="3"/>
        <v>1040</v>
      </c>
      <c r="L28" s="318">
        <f t="shared" si="4"/>
        <v>3237.0356809896307</v>
      </c>
      <c r="M28" s="318">
        <f t="shared" si="5"/>
        <v>2080</v>
      </c>
      <c r="N28" s="321">
        <f>0</f>
        <v>0</v>
      </c>
      <c r="O28" s="321">
        <f t="shared" si="6"/>
        <v>2080</v>
      </c>
      <c r="P28" s="321">
        <f t="shared" si="7"/>
        <v>3237.0356809896307</v>
      </c>
      <c r="Q28" s="279">
        <f t="shared" si="8"/>
        <v>3120</v>
      </c>
      <c r="R28" s="279">
        <f>0</f>
        <v>0</v>
      </c>
      <c r="S28" s="321">
        <f t="shared" si="9"/>
        <v>3120</v>
      </c>
      <c r="T28" s="318">
        <f t="shared" si="10"/>
        <v>1618.5178404948153</v>
      </c>
      <c r="U28" s="318">
        <f t="shared" si="11"/>
        <v>520</v>
      </c>
      <c r="V28" s="320">
        <f t="shared" si="12"/>
        <v>1618.5178404948153</v>
      </c>
      <c r="W28" s="320">
        <f t="shared" si="13"/>
        <v>1560</v>
      </c>
      <c r="X28" s="320">
        <f t="shared" si="14"/>
        <v>1618.5178404948153</v>
      </c>
      <c r="Y28" s="320">
        <f t="shared" si="15"/>
        <v>2600</v>
      </c>
      <c r="Z28" s="318">
        <f t="shared" si="43"/>
        <v>540.65335546875838</v>
      </c>
      <c r="AA28" s="320">
        <f t="shared" si="16"/>
        <v>2358.7363435585185</v>
      </c>
      <c r="AB28" s="318">
        <f t="shared" si="17"/>
        <v>2696.3823255208722</v>
      </c>
      <c r="AC28" s="320">
        <f t="shared" si="18"/>
        <v>761.26365644148143</v>
      </c>
      <c r="AD28" s="320">
        <f t="shared" si="44"/>
        <v>1618.5178404948153</v>
      </c>
      <c r="AE28" s="320">
        <f t="shared" si="19"/>
        <v>1618.5178404948153</v>
      </c>
      <c r="AF28" s="320">
        <f>p_*Xi/AI - q*Yi/AI</f>
        <v>1618.5178404948153</v>
      </c>
      <c r="AG28" s="320">
        <f>Xd +r_*Xi/AI + s*Yi/AI</f>
        <v>1618.5178404948153</v>
      </c>
      <c r="AH28" s="320">
        <f>p_*Xi/AI - q*Yi/AI</f>
        <v>1618.5178404948153</v>
      </c>
      <c r="AI28" s="347">
        <f>Xd +r_*Xi/AI + s*Yi/AI</f>
        <v>1618.5178404948153</v>
      </c>
      <c r="AK28" s="321">
        <f t="shared" si="20"/>
        <v>11083.950923298597</v>
      </c>
      <c r="AL28" s="321">
        <f t="shared" si="21"/>
        <v>-349.30858116157651</v>
      </c>
      <c r="AM28" s="351">
        <f t="shared" si="22"/>
        <v>-7734.6477569800263</v>
      </c>
      <c r="AN28" s="351">
        <f t="shared" si="23"/>
        <v>1440.3780583773491</v>
      </c>
      <c r="AO28" s="351">
        <f t="shared" si="24"/>
        <v>-8373.8125773149604</v>
      </c>
      <c r="AP28" s="351">
        <f t="shared" si="25"/>
        <v>7734.6477569800263</v>
      </c>
      <c r="AQ28" s="351">
        <f t="shared" si="26"/>
        <v>1329.6219416226509</v>
      </c>
      <c r="AR28" s="351">
        <f t="shared" si="27"/>
        <v>0</v>
      </c>
      <c r="AS28" s="351"/>
      <c r="AT28" s="351"/>
      <c r="AU28" s="351"/>
      <c r="AV28" s="351"/>
      <c r="AW28" s="351">
        <f t="shared" si="28"/>
        <v>-1155.3780583773491</v>
      </c>
      <c r="AX28" s="351"/>
      <c r="AY28" s="351">
        <f t="shared" si="29"/>
        <v>-1044.6219416226509</v>
      </c>
      <c r="AZ28" s="321">
        <f t="shared" si="30"/>
        <v>-7734.6477569800263</v>
      </c>
      <c r="BA28" s="321">
        <f t="shared" si="31"/>
        <v>-9987.4345189376108</v>
      </c>
      <c r="BB28" s="351">
        <f t="shared" si="32"/>
        <v>-7734.6477569800263</v>
      </c>
      <c r="BC28" s="351">
        <f t="shared" si="33"/>
        <v>118.75611675469827</v>
      </c>
      <c r="BD28" s="351"/>
      <c r="BE28" s="351"/>
      <c r="BF28" s="351">
        <f t="shared" si="34"/>
        <v>-11083.950923298597</v>
      </c>
      <c r="BG28" s="352">
        <f t="shared" si="35"/>
        <v>12062.121158476537</v>
      </c>
      <c r="BI28" s="302">
        <f t="shared" si="36"/>
        <v>0.31086506531956176</v>
      </c>
      <c r="BJ28" s="302">
        <f t="shared" si="37"/>
        <v>0.63773939561635329</v>
      </c>
      <c r="BK28" s="302">
        <f t="shared" si="38"/>
        <v>17.811256240869543</v>
      </c>
      <c r="BL28" s="343">
        <f t="shared" si="39"/>
        <v>36.539775798040957</v>
      </c>
      <c r="BV28" s="203"/>
      <c r="BW28" s="203"/>
      <c r="BX28" s="203"/>
      <c r="BY28" s="203"/>
      <c r="CH28" s="202"/>
      <c r="CI28" s="216"/>
      <c r="CJ28" s="216"/>
      <c r="CK28" s="216"/>
      <c r="CL28" s="216"/>
      <c r="CM28" s="216"/>
      <c r="CN28" s="216"/>
      <c r="CO28" s="216"/>
      <c r="CP28" s="216"/>
      <c r="CQ28" s="216"/>
      <c r="CR28" s="216"/>
      <c r="CS28" s="216"/>
      <c r="CT28" s="216"/>
      <c r="CU28" s="216"/>
      <c r="CV28" s="216"/>
      <c r="CW28" s="216"/>
      <c r="DM28" s="203"/>
    </row>
    <row r="29" spans="2:117" x14ac:dyDescent="0.25">
      <c r="B29" s="323">
        <f t="shared" si="40"/>
        <v>3372</v>
      </c>
      <c r="C29" s="324">
        <f t="shared" si="0"/>
        <v>2740.8451629233082</v>
      </c>
      <c r="D29" s="234">
        <f t="shared" si="1"/>
        <v>16028.844651677709</v>
      </c>
      <c r="E29" s="225"/>
      <c r="F29" s="346">
        <f t="shared" si="2"/>
        <v>3208.8353027227809</v>
      </c>
      <c r="G29" s="318">
        <f t="shared" si="41"/>
        <v>1124</v>
      </c>
      <c r="H29" s="318">
        <f t="shared" si="42"/>
        <v>3208.8353027227809</v>
      </c>
      <c r="I29" s="318">
        <f>0</f>
        <v>0</v>
      </c>
      <c r="J29" s="318">
        <f>0</f>
        <v>0</v>
      </c>
      <c r="K29" s="318">
        <f t="shared" si="3"/>
        <v>1124</v>
      </c>
      <c r="L29" s="318">
        <f t="shared" si="4"/>
        <v>3208.8353027227809</v>
      </c>
      <c r="M29" s="318">
        <f t="shared" si="5"/>
        <v>2248</v>
      </c>
      <c r="N29" s="321">
        <f>0</f>
        <v>0</v>
      </c>
      <c r="O29" s="321">
        <f t="shared" si="6"/>
        <v>2248</v>
      </c>
      <c r="P29" s="321">
        <f t="shared" si="7"/>
        <v>3208.8353027227809</v>
      </c>
      <c r="Q29" s="279">
        <f t="shared" si="8"/>
        <v>3372</v>
      </c>
      <c r="R29" s="279">
        <f>0</f>
        <v>0</v>
      </c>
      <c r="S29" s="321">
        <f t="shared" si="9"/>
        <v>3372</v>
      </c>
      <c r="T29" s="318">
        <f t="shared" si="10"/>
        <v>1604.4176513613904</v>
      </c>
      <c r="U29" s="318">
        <f t="shared" si="11"/>
        <v>562</v>
      </c>
      <c r="V29" s="320">
        <f t="shared" si="12"/>
        <v>1604.4176513613904</v>
      </c>
      <c r="W29" s="320">
        <f t="shared" si="13"/>
        <v>1686</v>
      </c>
      <c r="X29" s="320">
        <f t="shared" si="14"/>
        <v>1604.4176513613904</v>
      </c>
      <c r="Y29" s="320">
        <f t="shared" si="15"/>
        <v>2810</v>
      </c>
      <c r="Z29" s="318">
        <f t="shared" si="43"/>
        <v>533.20622989225535</v>
      </c>
      <c r="AA29" s="320">
        <f t="shared" si="16"/>
        <v>2540.7304500800819</v>
      </c>
      <c r="AB29" s="318">
        <f t="shared" si="17"/>
        <v>2675.6290728305253</v>
      </c>
      <c r="AC29" s="320">
        <f t="shared" si="18"/>
        <v>831.26954991991829</v>
      </c>
      <c r="AD29" s="320">
        <f t="shared" si="44"/>
        <v>1604.4176513613902</v>
      </c>
      <c r="AE29" s="320">
        <f t="shared" si="19"/>
        <v>1604.4176513613902</v>
      </c>
      <c r="AF29" s="320">
        <f>p_*Xi/AI - q*Yi/AI</f>
        <v>1604.4176513613902</v>
      </c>
      <c r="AG29" s="320">
        <f>Xd +r_*Xi/AI + s*Yi/AI</f>
        <v>1604.4176513613902</v>
      </c>
      <c r="AH29" s="320">
        <f>p_*Xi/AI - q*Yi/AI</f>
        <v>1604.4176513613902</v>
      </c>
      <c r="AI29" s="347">
        <f>Xd +r_*Xi/AI + s*Yi/AI</f>
        <v>1604.4176513613902</v>
      </c>
      <c r="AK29" s="321">
        <f t="shared" si="20"/>
        <v>10440.220763243471</v>
      </c>
      <c r="AL29" s="321">
        <f t="shared" si="21"/>
        <v>-263.50156407159557</v>
      </c>
      <c r="AM29" s="351">
        <f t="shared" si="22"/>
        <v>-7094.2666612687808</v>
      </c>
      <c r="AN29" s="351">
        <f t="shared" si="23"/>
        <v>1450.531928929639</v>
      </c>
      <c r="AO29" s="351">
        <f t="shared" si="24"/>
        <v>-8559.9673991922791</v>
      </c>
      <c r="AP29" s="351">
        <f t="shared" si="25"/>
        <v>7094.2666612687808</v>
      </c>
      <c r="AQ29" s="351">
        <f t="shared" si="26"/>
        <v>1319.468071070361</v>
      </c>
      <c r="AR29" s="351">
        <f t="shared" si="27"/>
        <v>0</v>
      </c>
      <c r="AS29" s="351"/>
      <c r="AT29" s="351"/>
      <c r="AU29" s="351"/>
      <c r="AV29" s="351"/>
      <c r="AW29" s="351">
        <f t="shared" si="28"/>
        <v>-1165.5319289296374</v>
      </c>
      <c r="AX29" s="351"/>
      <c r="AY29" s="351">
        <f t="shared" si="29"/>
        <v>-1034.4680710703626</v>
      </c>
      <c r="AZ29" s="321">
        <f t="shared" si="30"/>
        <v>-7094.2666612687808</v>
      </c>
      <c r="BA29" s="321">
        <f t="shared" si="31"/>
        <v>-10163.435470262641</v>
      </c>
      <c r="BB29" s="351">
        <f t="shared" si="32"/>
        <v>-7094.2666612687808</v>
      </c>
      <c r="BC29" s="351">
        <f t="shared" si="33"/>
        <v>139.06385785927637</v>
      </c>
      <c r="BD29" s="351"/>
      <c r="BE29" s="351"/>
      <c r="BF29" s="351">
        <f t="shared" si="34"/>
        <v>-10440.220763243471</v>
      </c>
      <c r="BG29" s="352">
        <f t="shared" si="35"/>
        <v>12162.468963263875</v>
      </c>
      <c r="BI29" s="302">
        <f t="shared" si="36"/>
        <v>0.33692678627715561</v>
      </c>
      <c r="BJ29" s="302">
        <f t="shared" si="37"/>
        <v>0.67346533466680647</v>
      </c>
      <c r="BK29" s="302">
        <f t="shared" si="38"/>
        <v>19.304482858587317</v>
      </c>
      <c r="BL29" s="343">
        <f t="shared" si="39"/>
        <v>38.586721324773542</v>
      </c>
      <c r="BV29" s="203"/>
      <c r="BW29" s="203"/>
      <c r="BX29" s="203"/>
      <c r="BY29" s="203"/>
      <c r="CH29" s="202"/>
      <c r="CI29" s="216"/>
      <c r="CJ29" s="216"/>
      <c r="CK29" s="216"/>
      <c r="CL29" s="216"/>
      <c r="CM29" s="216"/>
      <c r="CN29" s="216"/>
      <c r="CO29" s="216"/>
      <c r="CP29" s="216"/>
      <c r="CQ29" s="216"/>
      <c r="CR29" s="216"/>
      <c r="CS29" s="216"/>
      <c r="CT29" s="216"/>
      <c r="CU29" s="216"/>
      <c r="CV29" s="216"/>
      <c r="CW29" s="216"/>
      <c r="DM29" s="203"/>
    </row>
    <row r="30" spans="2:117" x14ac:dyDescent="0.25">
      <c r="B30" s="323">
        <f t="shared" si="40"/>
        <v>3624</v>
      </c>
      <c r="C30" s="324">
        <f t="shared" si="0"/>
        <v>2800.6221130052054</v>
      </c>
      <c r="D30" s="234">
        <f t="shared" si="1"/>
        <v>15765.553157199525</v>
      </c>
      <c r="E30" s="225"/>
      <c r="F30" s="346">
        <f t="shared" si="2"/>
        <v>3178.1655085913949</v>
      </c>
      <c r="G30" s="318">
        <f t="shared" si="41"/>
        <v>1208</v>
      </c>
      <c r="H30" s="318">
        <f t="shared" si="42"/>
        <v>3178.1655085913949</v>
      </c>
      <c r="I30" s="318">
        <f>0</f>
        <v>0</v>
      </c>
      <c r="J30" s="318">
        <f>0</f>
        <v>0</v>
      </c>
      <c r="K30" s="318">
        <f t="shared" si="3"/>
        <v>1208</v>
      </c>
      <c r="L30" s="318">
        <f t="shared" si="4"/>
        <v>3178.1655085913949</v>
      </c>
      <c r="M30" s="318">
        <f t="shared" si="5"/>
        <v>2416</v>
      </c>
      <c r="N30" s="321">
        <f>0</f>
        <v>0</v>
      </c>
      <c r="O30" s="321">
        <f t="shared" si="6"/>
        <v>2416</v>
      </c>
      <c r="P30" s="321">
        <f t="shared" si="7"/>
        <v>3178.1655085913949</v>
      </c>
      <c r="Q30" s="279">
        <f t="shared" si="8"/>
        <v>3624</v>
      </c>
      <c r="R30" s="279">
        <f>0</f>
        <v>0</v>
      </c>
      <c r="S30" s="321">
        <f t="shared" si="9"/>
        <v>3624</v>
      </c>
      <c r="T30" s="318">
        <f t="shared" si="10"/>
        <v>1589.0827542956974</v>
      </c>
      <c r="U30" s="318">
        <f t="shared" si="11"/>
        <v>604</v>
      </c>
      <c r="V30" s="320">
        <f t="shared" si="12"/>
        <v>1589.0827542956974</v>
      </c>
      <c r="W30" s="320">
        <f t="shared" si="13"/>
        <v>1812</v>
      </c>
      <c r="X30" s="320">
        <f t="shared" si="14"/>
        <v>1589.0827542956974</v>
      </c>
      <c r="Y30" s="320">
        <f t="shared" si="15"/>
        <v>3020</v>
      </c>
      <c r="Z30" s="318">
        <f t="shared" si="43"/>
        <v>525.32332504554029</v>
      </c>
      <c r="AA30" s="320">
        <f t="shared" si="16"/>
        <v>2722.6519267232761</v>
      </c>
      <c r="AB30" s="318">
        <f t="shared" si="17"/>
        <v>2652.8421835458548</v>
      </c>
      <c r="AC30" s="320">
        <f t="shared" si="18"/>
        <v>901.34807327672365</v>
      </c>
      <c r="AD30" s="320">
        <f t="shared" si="44"/>
        <v>1589.0827542956972</v>
      </c>
      <c r="AE30" s="320">
        <f t="shared" si="19"/>
        <v>1589.0827542956972</v>
      </c>
      <c r="AF30" s="320">
        <f>p_*Xi/AI - q*Yi/AI</f>
        <v>1589.0827542956972</v>
      </c>
      <c r="AG30" s="320">
        <f>Xd +r_*Xi/AI + s*Yi/AI</f>
        <v>1589.0827542956972</v>
      </c>
      <c r="AH30" s="320">
        <f>p_*Xi/AI - q*Yi/AI</f>
        <v>1589.0827542956972</v>
      </c>
      <c r="AI30" s="347">
        <f>Xd +r_*Xi/AI + s*Yi/AI</f>
        <v>1589.0827542956972</v>
      </c>
      <c r="AK30" s="321">
        <f t="shared" si="20"/>
        <v>9892.5014461758219</v>
      </c>
      <c r="AL30" s="321">
        <f t="shared" si="21"/>
        <v>-171.70415691495509</v>
      </c>
      <c r="AM30" s="351">
        <f t="shared" si="22"/>
        <v>-6537.8653053390854</v>
      </c>
      <c r="AN30" s="351">
        <f t="shared" si="23"/>
        <v>1461.7794942994062</v>
      </c>
      <c r="AO30" s="351">
        <f t="shared" si="24"/>
        <v>-8764.9254191961281</v>
      </c>
      <c r="AP30" s="351">
        <f t="shared" si="25"/>
        <v>6537.8653053390854</v>
      </c>
      <c r="AQ30" s="351">
        <f t="shared" si="26"/>
        <v>1308.2205057005938</v>
      </c>
      <c r="AR30" s="351">
        <f t="shared" si="27"/>
        <v>0</v>
      </c>
      <c r="AS30" s="351"/>
      <c r="AT30" s="351"/>
      <c r="AU30" s="351"/>
      <c r="AV30" s="351"/>
      <c r="AW30" s="351">
        <f t="shared" si="28"/>
        <v>-1176.7794942994071</v>
      </c>
      <c r="AX30" s="351"/>
      <c r="AY30" s="351">
        <f t="shared" si="29"/>
        <v>-1023.2205057005929</v>
      </c>
      <c r="AZ30" s="321">
        <f t="shared" si="30"/>
        <v>-6537.8653053390854</v>
      </c>
      <c r="BA30" s="321">
        <f t="shared" si="31"/>
        <v>-10357.145924896722</v>
      </c>
      <c r="BB30" s="351">
        <f t="shared" si="32"/>
        <v>-6537.8653053390854</v>
      </c>
      <c r="BC30" s="351">
        <f t="shared" si="33"/>
        <v>161.55898859881336</v>
      </c>
      <c r="BD30" s="351"/>
      <c r="BE30" s="351"/>
      <c r="BF30" s="351">
        <f t="shared" si="34"/>
        <v>-9892.5014461758219</v>
      </c>
      <c r="BG30" s="352">
        <f t="shared" si="35"/>
        <v>12275.629576111083</v>
      </c>
      <c r="BI30" s="302">
        <f t="shared" si="36"/>
        <v>0.36322869538680025</v>
      </c>
      <c r="BJ30" s="302">
        <f t="shared" si="37"/>
        <v>0.70800714381436936</v>
      </c>
      <c r="BK30" s="302">
        <f t="shared" si="38"/>
        <v>20.811471243706649</v>
      </c>
      <c r="BL30" s="343">
        <f t="shared" si="39"/>
        <v>40.56582120567527</v>
      </c>
      <c r="BV30" s="203"/>
      <c r="BW30" s="203"/>
      <c r="BX30" s="203"/>
      <c r="BY30" s="203"/>
      <c r="CH30" s="202"/>
      <c r="CI30" s="216"/>
      <c r="CJ30" s="216"/>
      <c r="CK30" s="216"/>
      <c r="CL30" s="216"/>
      <c r="CM30" s="216"/>
      <c r="CN30" s="216"/>
      <c r="CO30" s="216"/>
      <c r="CP30" s="216"/>
      <c r="CQ30" s="216"/>
      <c r="CR30" s="216"/>
      <c r="CS30" s="216"/>
      <c r="CT30" s="216"/>
      <c r="CU30" s="216"/>
      <c r="CV30" s="216"/>
      <c r="CW30" s="216"/>
      <c r="DM30" s="203"/>
    </row>
    <row r="31" spans="2:117" x14ac:dyDescent="0.25">
      <c r="B31" s="323">
        <f t="shared" si="40"/>
        <v>3876</v>
      </c>
      <c r="C31" s="324">
        <f t="shared" si="0"/>
        <v>2862.2847573800905</v>
      </c>
      <c r="D31" s="234">
        <f t="shared" si="1"/>
        <v>15577.815851072197</v>
      </c>
      <c r="E31" s="225"/>
      <c r="F31" s="346">
        <f t="shared" si="2"/>
        <v>3144.9540537184325</v>
      </c>
      <c r="G31" s="318">
        <f t="shared" si="41"/>
        <v>1292</v>
      </c>
      <c r="H31" s="318">
        <f t="shared" si="42"/>
        <v>3144.9540537184325</v>
      </c>
      <c r="I31" s="318">
        <f>0</f>
        <v>0</v>
      </c>
      <c r="J31" s="318">
        <f>0</f>
        <v>0</v>
      </c>
      <c r="K31" s="318">
        <f t="shared" si="3"/>
        <v>1292</v>
      </c>
      <c r="L31" s="318">
        <f t="shared" si="4"/>
        <v>3144.9540537184325</v>
      </c>
      <c r="M31" s="318">
        <f t="shared" si="5"/>
        <v>2584</v>
      </c>
      <c r="N31" s="321">
        <f>0</f>
        <v>0</v>
      </c>
      <c r="O31" s="321">
        <f t="shared" si="6"/>
        <v>2584</v>
      </c>
      <c r="P31" s="321">
        <f t="shared" si="7"/>
        <v>3144.9540537184325</v>
      </c>
      <c r="Q31" s="279">
        <f t="shared" si="8"/>
        <v>3876</v>
      </c>
      <c r="R31" s="279">
        <f>0</f>
        <v>0</v>
      </c>
      <c r="S31" s="321">
        <f t="shared" si="9"/>
        <v>3876</v>
      </c>
      <c r="T31" s="318">
        <f t="shared" si="10"/>
        <v>1572.4770268592163</v>
      </c>
      <c r="U31" s="318">
        <f t="shared" si="11"/>
        <v>646</v>
      </c>
      <c r="V31" s="320">
        <f t="shared" si="12"/>
        <v>1572.4770268592163</v>
      </c>
      <c r="W31" s="320">
        <f t="shared" si="13"/>
        <v>1938</v>
      </c>
      <c r="X31" s="320">
        <f t="shared" si="14"/>
        <v>1572.4770268592163</v>
      </c>
      <c r="Y31" s="320">
        <f t="shared" si="15"/>
        <v>3230</v>
      </c>
      <c r="Z31" s="318">
        <f t="shared" si="43"/>
        <v>516.99189183266458</v>
      </c>
      <c r="AA31" s="320">
        <f t="shared" si="16"/>
        <v>2904.4986486387775</v>
      </c>
      <c r="AB31" s="318">
        <f t="shared" si="17"/>
        <v>2627.9621618857677</v>
      </c>
      <c r="AC31" s="320">
        <f t="shared" si="18"/>
        <v>971.50135136122253</v>
      </c>
      <c r="AD31" s="320">
        <f t="shared" si="44"/>
        <v>1572.4770268592163</v>
      </c>
      <c r="AE31" s="320">
        <f t="shared" si="19"/>
        <v>1572.4770268592163</v>
      </c>
      <c r="AF31" s="320">
        <f>p_*Xi/AI - q*Yi/AI</f>
        <v>1572.4770268592163</v>
      </c>
      <c r="AG31" s="320">
        <f>Xd +r_*Xi/AI + s*Yi/AI</f>
        <v>1572.4770268592163</v>
      </c>
      <c r="AH31" s="320">
        <f>p_*Xi/AI - q*Yi/AI</f>
        <v>1572.4770268592163</v>
      </c>
      <c r="AI31" s="347">
        <f>Xd +r_*Xi/AI + s*Yi/AI</f>
        <v>1572.4770268592163</v>
      </c>
      <c r="AK31" s="321">
        <f t="shared" si="20"/>
        <v>9424.8005365033714</v>
      </c>
      <c r="AL31" s="321">
        <f t="shared" si="21"/>
        <v>-72.340047245827009</v>
      </c>
      <c r="AM31" s="351">
        <f t="shared" si="22"/>
        <v>-6048.9247859832103</v>
      </c>
      <c r="AN31" s="351">
        <f t="shared" si="23"/>
        <v>1474.2065626771298</v>
      </c>
      <c r="AO31" s="351">
        <f t="shared" si="24"/>
        <v>-8991.9450634432742</v>
      </c>
      <c r="AP31" s="351">
        <f t="shared" si="25"/>
        <v>6048.9247859832103</v>
      </c>
      <c r="AQ31" s="351">
        <f t="shared" si="26"/>
        <v>1295.7934373228702</v>
      </c>
      <c r="AR31" s="351">
        <f t="shared" si="27"/>
        <v>0</v>
      </c>
      <c r="AS31" s="351"/>
      <c r="AT31" s="351"/>
      <c r="AU31" s="351"/>
      <c r="AV31" s="351"/>
      <c r="AW31" s="351">
        <f t="shared" si="28"/>
        <v>-1189.2065626771289</v>
      </c>
      <c r="AX31" s="351"/>
      <c r="AY31" s="351">
        <f t="shared" si="29"/>
        <v>-1010.7934373228711</v>
      </c>
      <c r="AZ31" s="321">
        <f t="shared" si="30"/>
        <v>-6048.9247859832103</v>
      </c>
      <c r="BA31" s="321">
        <f t="shared" si="31"/>
        <v>-10571.738500766145</v>
      </c>
      <c r="BB31" s="351">
        <f t="shared" si="32"/>
        <v>-6048.9247859832103</v>
      </c>
      <c r="BC31" s="351">
        <f t="shared" si="33"/>
        <v>186.41312535425868</v>
      </c>
      <c r="BD31" s="351"/>
      <c r="BE31" s="351"/>
      <c r="BF31" s="351">
        <f t="shared" si="34"/>
        <v>-9424.8005365033714</v>
      </c>
      <c r="BG31" s="352">
        <f t="shared" si="35"/>
        <v>12403.285110689101</v>
      </c>
      <c r="BI31" s="302">
        <f t="shared" si="36"/>
        <v>0.38979629647426056</v>
      </c>
      <c r="BJ31" s="302">
        <f t="shared" si="37"/>
        <v>0.74141704789940999</v>
      </c>
      <c r="BK31" s="302">
        <f t="shared" si="38"/>
        <v>22.333682657805301</v>
      </c>
      <c r="BL31" s="343">
        <f t="shared" si="39"/>
        <v>42.480067703684988</v>
      </c>
      <c r="BV31" s="203"/>
      <c r="BW31" s="203"/>
      <c r="BX31" s="203"/>
      <c r="BY31" s="203"/>
      <c r="CH31" s="202"/>
      <c r="CI31" s="216"/>
      <c r="CJ31" s="216"/>
      <c r="CK31" s="216"/>
      <c r="CL31" s="216"/>
      <c r="CM31" s="216"/>
      <c r="CN31" s="216"/>
      <c r="CO31" s="216"/>
      <c r="CP31" s="216"/>
      <c r="CQ31" s="216"/>
      <c r="CR31" s="216"/>
      <c r="CS31" s="216"/>
      <c r="CT31" s="216"/>
      <c r="CU31" s="216"/>
      <c r="CV31" s="216"/>
      <c r="CW31" s="216"/>
      <c r="DM31" s="203"/>
    </row>
    <row r="32" spans="2:117" x14ac:dyDescent="0.25">
      <c r="B32" s="323">
        <f t="shared" si="40"/>
        <v>4128</v>
      </c>
      <c r="C32" s="324">
        <f t="shared" si="0"/>
        <v>2925.6836070970403</v>
      </c>
      <c r="D32" s="234">
        <f t="shared" si="1"/>
        <v>15456.069329078729</v>
      </c>
      <c r="E32" s="225"/>
      <c r="F32" s="346">
        <f t="shared" si="2"/>
        <v>3109.1194895018107</v>
      </c>
      <c r="G32" s="318">
        <f t="shared" si="41"/>
        <v>1376</v>
      </c>
      <c r="H32" s="318">
        <f t="shared" si="42"/>
        <v>3109.1194895018107</v>
      </c>
      <c r="I32" s="318">
        <f>0</f>
        <v>0</v>
      </c>
      <c r="J32" s="318">
        <f>0</f>
        <v>0</v>
      </c>
      <c r="K32" s="318">
        <f t="shared" si="3"/>
        <v>1376</v>
      </c>
      <c r="L32" s="318">
        <f t="shared" si="4"/>
        <v>3109.1194895018107</v>
      </c>
      <c r="M32" s="318">
        <f t="shared" si="5"/>
        <v>2752</v>
      </c>
      <c r="N32" s="321">
        <f>0</f>
        <v>0</v>
      </c>
      <c r="O32" s="321">
        <f t="shared" si="6"/>
        <v>2752</v>
      </c>
      <c r="P32" s="321">
        <f t="shared" si="7"/>
        <v>3109.1194895018107</v>
      </c>
      <c r="Q32" s="279">
        <f t="shared" si="8"/>
        <v>4128</v>
      </c>
      <c r="R32" s="279">
        <f>0</f>
        <v>0</v>
      </c>
      <c r="S32" s="321">
        <f t="shared" si="9"/>
        <v>4128</v>
      </c>
      <c r="T32" s="318">
        <f t="shared" si="10"/>
        <v>1554.5597447509053</v>
      </c>
      <c r="U32" s="318">
        <f t="shared" si="11"/>
        <v>688</v>
      </c>
      <c r="V32" s="320">
        <f t="shared" si="12"/>
        <v>1554.5597447509053</v>
      </c>
      <c r="W32" s="320">
        <f t="shared" si="13"/>
        <v>2064</v>
      </c>
      <c r="X32" s="320">
        <f t="shared" si="14"/>
        <v>1554.5597447509053</v>
      </c>
      <c r="Y32" s="320">
        <f t="shared" si="15"/>
        <v>3440</v>
      </c>
      <c r="Z32" s="318">
        <f t="shared" si="43"/>
        <v>508.19755697090773</v>
      </c>
      <c r="AA32" s="320">
        <f t="shared" si="16"/>
        <v>3086.2682202794654</v>
      </c>
      <c r="AB32" s="318">
        <f t="shared" si="17"/>
        <v>2600.9219325309027</v>
      </c>
      <c r="AC32" s="320">
        <f t="shared" si="18"/>
        <v>1041.7317797205351</v>
      </c>
      <c r="AD32" s="320">
        <f t="shared" si="44"/>
        <v>1554.5597447509053</v>
      </c>
      <c r="AE32" s="320">
        <f t="shared" si="19"/>
        <v>1554.5597447509053</v>
      </c>
      <c r="AF32" s="320">
        <f>p_*Xi/AI - q*Yi/AI</f>
        <v>1554.5597447509053</v>
      </c>
      <c r="AG32" s="320">
        <f>Xd +r_*Xi/AI + s*Yi/AI</f>
        <v>1554.5597447509053</v>
      </c>
      <c r="AH32" s="320">
        <f>p_*Xi/AI - q*Yi/AI</f>
        <v>1554.5597447509053</v>
      </c>
      <c r="AI32" s="347">
        <f>Xd +r_*Xi/AI + s*Yi/AI</f>
        <v>1554.5597447509053</v>
      </c>
      <c r="AK32" s="321">
        <f t="shared" si="20"/>
        <v>9025.0605772344807</v>
      </c>
      <c r="AL32" s="321">
        <f t="shared" si="21"/>
        <v>36.29939636551353</v>
      </c>
      <c r="AM32" s="351">
        <f t="shared" si="22"/>
        <v>-5614.9432641075582</v>
      </c>
      <c r="AN32" s="351">
        <f t="shared" si="23"/>
        <v>1487.9129187953079</v>
      </c>
      <c r="AO32" s="351">
        <f t="shared" si="24"/>
        <v>-9244.7437848669506</v>
      </c>
      <c r="AP32" s="351">
        <f t="shared" si="25"/>
        <v>5614.9432641075582</v>
      </c>
      <c r="AQ32" s="351">
        <f t="shared" si="26"/>
        <v>1282.0870812046921</v>
      </c>
      <c r="AR32" s="351">
        <f t="shared" si="27"/>
        <v>0</v>
      </c>
      <c r="AS32" s="351"/>
      <c r="AT32" s="351"/>
      <c r="AU32" s="351"/>
      <c r="AV32" s="351"/>
      <c r="AW32" s="351">
        <f t="shared" si="28"/>
        <v>-1202.9129187953076</v>
      </c>
      <c r="AX32" s="351"/>
      <c r="AY32" s="351">
        <f t="shared" si="29"/>
        <v>-997.08708120469237</v>
      </c>
      <c r="AZ32" s="321">
        <f t="shared" si="30"/>
        <v>-5614.9432641075582</v>
      </c>
      <c r="BA32" s="321">
        <f t="shared" si="31"/>
        <v>-10810.830866071643</v>
      </c>
      <c r="BB32" s="351">
        <f t="shared" si="32"/>
        <v>-5614.9432641075582</v>
      </c>
      <c r="BC32" s="351">
        <f t="shared" si="33"/>
        <v>213.82583759061549</v>
      </c>
      <c r="BD32" s="351"/>
      <c r="BE32" s="351"/>
      <c r="BF32" s="351">
        <f t="shared" si="34"/>
        <v>-9025.0605772344807</v>
      </c>
      <c r="BG32" s="352">
        <f t="shared" si="35"/>
        <v>12547.444388501437</v>
      </c>
      <c r="BI32" s="302">
        <f t="shared" si="36"/>
        <v>0.41665717324901902</v>
      </c>
      <c r="BJ32" s="302">
        <f t="shared" si="37"/>
        <v>0.77375138591192405</v>
      </c>
      <c r="BK32" s="302">
        <f t="shared" si="38"/>
        <v>23.872697531019934</v>
      </c>
      <c r="BL32" s="343">
        <f t="shared" si="39"/>
        <v>44.33268880515147</v>
      </c>
      <c r="BV32" s="203"/>
      <c r="BW32" s="203"/>
      <c r="BX32" s="203"/>
      <c r="BY32" s="203"/>
      <c r="CH32" s="202"/>
      <c r="CI32" s="216"/>
      <c r="CJ32" s="216"/>
      <c r="CK32" s="216"/>
      <c r="CL32" s="216"/>
      <c r="CM32" s="216"/>
      <c r="CN32" s="216"/>
      <c r="CO32" s="216"/>
      <c r="CP32" s="216"/>
      <c r="CQ32" s="216"/>
      <c r="CR32" s="216"/>
      <c r="CS32" s="216"/>
      <c r="CT32" s="216"/>
      <c r="CU32" s="216"/>
      <c r="CV32" s="216"/>
      <c r="CW32" s="216"/>
      <c r="DM32" s="203"/>
    </row>
    <row r="33" spans="1:117" x14ac:dyDescent="0.25">
      <c r="B33" s="323">
        <f t="shared" si="40"/>
        <v>4380</v>
      </c>
      <c r="C33" s="324">
        <f t="shared" si="0"/>
        <v>2990.6769711813399</v>
      </c>
      <c r="D33" s="234">
        <f t="shared" si="1"/>
        <v>15393.913724304255</v>
      </c>
      <c r="E33" s="225"/>
      <c r="F33" s="346">
        <f t="shared" si="2"/>
        <v>3070.5699796617569</v>
      </c>
      <c r="G33" s="318">
        <f t="shared" si="41"/>
        <v>1460</v>
      </c>
      <c r="H33" s="318">
        <f t="shared" si="42"/>
        <v>3070.5699796617569</v>
      </c>
      <c r="I33" s="318">
        <f>0</f>
        <v>0</v>
      </c>
      <c r="J33" s="318">
        <f>0</f>
        <v>0</v>
      </c>
      <c r="K33" s="318">
        <f t="shared" si="3"/>
        <v>1460</v>
      </c>
      <c r="L33" s="318">
        <f t="shared" si="4"/>
        <v>3070.5699796617569</v>
      </c>
      <c r="M33" s="318">
        <f t="shared" si="5"/>
        <v>2920</v>
      </c>
      <c r="N33" s="321">
        <f>0</f>
        <v>0</v>
      </c>
      <c r="O33" s="321">
        <f t="shared" si="6"/>
        <v>2920</v>
      </c>
      <c r="P33" s="321">
        <f t="shared" si="7"/>
        <v>3070.5699796617569</v>
      </c>
      <c r="Q33" s="279">
        <f t="shared" si="8"/>
        <v>4380</v>
      </c>
      <c r="R33" s="279">
        <f>0</f>
        <v>0</v>
      </c>
      <c r="S33" s="321">
        <f t="shared" si="9"/>
        <v>4380</v>
      </c>
      <c r="T33" s="318">
        <f t="shared" si="10"/>
        <v>1535.2849898308784</v>
      </c>
      <c r="U33" s="318">
        <f t="shared" si="11"/>
        <v>730</v>
      </c>
      <c r="V33" s="320">
        <f t="shared" si="12"/>
        <v>1535.2849898308784</v>
      </c>
      <c r="W33" s="320">
        <f t="shared" si="13"/>
        <v>2190</v>
      </c>
      <c r="X33" s="320">
        <f t="shared" si="14"/>
        <v>1535.2849898308784</v>
      </c>
      <c r="Y33" s="320">
        <f t="shared" si="15"/>
        <v>3650</v>
      </c>
      <c r="Z33" s="318">
        <f t="shared" si="43"/>
        <v>498.92411405795718</v>
      </c>
      <c r="AA33" s="320">
        <f t="shared" si="16"/>
        <v>3267.957940578287</v>
      </c>
      <c r="AB33" s="318">
        <f t="shared" si="17"/>
        <v>2571.6458656037998</v>
      </c>
      <c r="AC33" s="320">
        <f t="shared" si="18"/>
        <v>1112.042059421713</v>
      </c>
      <c r="AD33" s="320">
        <f t="shared" si="44"/>
        <v>1535.2849898308784</v>
      </c>
      <c r="AE33" s="320">
        <f t="shared" si="19"/>
        <v>1535.2849898308784</v>
      </c>
      <c r="AF33" s="320">
        <f>p_*Xi/AI - q*Yi/AI</f>
        <v>1535.2849898308784</v>
      </c>
      <c r="AG33" s="320">
        <f>Xd +r_*Xi/AI + s*Yi/AI</f>
        <v>1535.2849898308784</v>
      </c>
      <c r="AH33" s="320">
        <f>p_*Xi/AI - q*Yi/AI</f>
        <v>1535.2849898308784</v>
      </c>
      <c r="AI33" s="347">
        <f>Xd +r_*Xi/AI + s*Yi/AI</f>
        <v>1535.2849898308784</v>
      </c>
      <c r="AK33" s="321">
        <f t="shared" si="20"/>
        <v>8684.1685263188429</v>
      </c>
      <c r="AL33" s="321">
        <f t="shared" si="21"/>
        <v>156.14877942308703</v>
      </c>
      <c r="AM33" s="351">
        <f t="shared" si="22"/>
        <v>-5226.2783557941548</v>
      </c>
      <c r="AN33" s="351">
        <f t="shared" si="23"/>
        <v>1503.0149043246968</v>
      </c>
      <c r="AO33" s="351">
        <f t="shared" si="24"/>
        <v>-9527.6875861698772</v>
      </c>
      <c r="AP33" s="351">
        <f t="shared" si="25"/>
        <v>5226.2783557941548</v>
      </c>
      <c r="AQ33" s="351">
        <f t="shared" si="26"/>
        <v>1266.9850956753032</v>
      </c>
      <c r="AR33" s="351">
        <f t="shared" si="27"/>
        <v>0</v>
      </c>
      <c r="AS33" s="351"/>
      <c r="AT33" s="351"/>
      <c r="AU33" s="351"/>
      <c r="AV33" s="351"/>
      <c r="AW33" s="351">
        <f t="shared" si="28"/>
        <v>-1218.0149043246965</v>
      </c>
      <c r="AX33" s="351"/>
      <c r="AY33" s="351">
        <f t="shared" si="29"/>
        <v>-981.98509567530346</v>
      </c>
      <c r="AZ33" s="321">
        <f t="shared" si="30"/>
        <v>-5226.2783557941548</v>
      </c>
      <c r="BA33" s="321">
        <f t="shared" si="31"/>
        <v>-11078.672681845181</v>
      </c>
      <c r="BB33" s="351">
        <f t="shared" si="32"/>
        <v>-5226.2783557941548</v>
      </c>
      <c r="BC33" s="351">
        <f t="shared" si="33"/>
        <v>244.02980864939332</v>
      </c>
      <c r="BD33" s="351"/>
      <c r="BE33" s="351"/>
      <c r="BF33" s="351">
        <f t="shared" si="34"/>
        <v>-8684.1685263188429</v>
      </c>
      <c r="BG33" s="352">
        <f t="shared" si="35"/>
        <v>12710.53880674679</v>
      </c>
      <c r="BI33" s="302">
        <f t="shared" si="36"/>
        <v>0.44384133112825946</v>
      </c>
      <c r="BJ33" s="302">
        <f t="shared" si="37"/>
        <v>0.8050696049987367</v>
      </c>
      <c r="BK33" s="302">
        <f t="shared" si="38"/>
        <v>25.430235047117716</v>
      </c>
      <c r="BL33" s="343">
        <f t="shared" si="39"/>
        <v>46.127090580691899</v>
      </c>
      <c r="BV33" s="203"/>
      <c r="BW33" s="203"/>
      <c r="BX33" s="203"/>
      <c r="BY33" s="203"/>
      <c r="CH33" s="202"/>
      <c r="CI33" s="216"/>
      <c r="CJ33" s="216"/>
      <c r="CK33" s="216"/>
      <c r="CL33" s="216"/>
      <c r="CM33" s="216"/>
      <c r="CN33" s="216"/>
      <c r="CO33" s="216"/>
      <c r="CP33" s="216"/>
      <c r="CQ33" s="216"/>
      <c r="CR33" s="216"/>
      <c r="CS33" s="216"/>
      <c r="CT33" s="216"/>
      <c r="CU33" s="216"/>
      <c r="CV33" s="216"/>
      <c r="CW33" s="216"/>
      <c r="DM33" s="203"/>
    </row>
    <row r="34" spans="1:117" x14ac:dyDescent="0.25">
      <c r="B34" s="323">
        <f t="shared" si="40"/>
        <v>4632</v>
      </c>
      <c r="C34" s="324">
        <f t="shared" si="0"/>
        <v>3057.1306691512327</v>
      </c>
      <c r="D34" s="234">
        <f t="shared" si="1"/>
        <v>15387.530463282263</v>
      </c>
      <c r="E34" s="225"/>
      <c r="F34" s="346">
        <f t="shared" si="2"/>
        <v>3029.2018750819498</v>
      </c>
      <c r="G34" s="318">
        <f t="shared" si="41"/>
        <v>1544</v>
      </c>
      <c r="H34" s="318">
        <f t="shared" si="42"/>
        <v>3029.2018750819498</v>
      </c>
      <c r="I34" s="318">
        <f>0</f>
        <v>0</v>
      </c>
      <c r="J34" s="318">
        <f>0</f>
        <v>0</v>
      </c>
      <c r="K34" s="318">
        <f t="shared" si="3"/>
        <v>1544</v>
      </c>
      <c r="L34" s="318">
        <f t="shared" si="4"/>
        <v>3029.2018750819498</v>
      </c>
      <c r="M34" s="318">
        <f t="shared" si="5"/>
        <v>3088</v>
      </c>
      <c r="N34" s="321">
        <f>0</f>
        <v>0</v>
      </c>
      <c r="O34" s="321">
        <f t="shared" si="6"/>
        <v>3088</v>
      </c>
      <c r="P34" s="321">
        <f t="shared" si="7"/>
        <v>3029.2018750819498</v>
      </c>
      <c r="Q34" s="279">
        <f t="shared" si="8"/>
        <v>4632</v>
      </c>
      <c r="R34" s="279">
        <f>0</f>
        <v>0</v>
      </c>
      <c r="S34" s="321">
        <f t="shared" si="9"/>
        <v>4632</v>
      </c>
      <c r="T34" s="318">
        <f t="shared" si="10"/>
        <v>1514.6009375409749</v>
      </c>
      <c r="U34" s="318">
        <f t="shared" si="11"/>
        <v>772</v>
      </c>
      <c r="V34" s="320">
        <f t="shared" si="12"/>
        <v>1514.6009375409749</v>
      </c>
      <c r="W34" s="320">
        <f t="shared" si="13"/>
        <v>2316</v>
      </c>
      <c r="X34" s="320">
        <f t="shared" si="14"/>
        <v>1514.6009375409749</v>
      </c>
      <c r="Y34" s="320">
        <f t="shared" si="15"/>
        <v>3860</v>
      </c>
      <c r="Z34" s="318">
        <f t="shared" si="43"/>
        <v>489.15327207328522</v>
      </c>
      <c r="AA34" s="320">
        <f t="shared" si="16"/>
        <v>3449.5647610318219</v>
      </c>
      <c r="AB34" s="318">
        <f t="shared" si="17"/>
        <v>2540.0486030086645</v>
      </c>
      <c r="AC34" s="320">
        <f t="shared" si="18"/>
        <v>1182.4352389681781</v>
      </c>
      <c r="AD34" s="320">
        <f t="shared" si="44"/>
        <v>1514.6009375409749</v>
      </c>
      <c r="AE34" s="320">
        <f t="shared" si="19"/>
        <v>1514.6009375409749</v>
      </c>
      <c r="AF34" s="320">
        <f>p_*Xi/AI - q*Yi/AI</f>
        <v>1514.6009375409749</v>
      </c>
      <c r="AG34" s="320">
        <f>Xd +r_*Xi/AI + s*Yi/AI</f>
        <v>1514.6009375409749</v>
      </c>
      <c r="AH34" s="320">
        <f>p_*Xi/AI - q*Yi/AI</f>
        <v>1514.6009375409749</v>
      </c>
      <c r="AI34" s="347">
        <f>Xd +r_*Xi/AI + s*Yi/AI</f>
        <v>1514.6009375409749</v>
      </c>
      <c r="AK34" s="321">
        <f t="shared" si="20"/>
        <v>8395.2925847449478</v>
      </c>
      <c r="AL34" s="321">
        <f t="shared" si="21"/>
        <v>289.47578311256802</v>
      </c>
      <c r="AM34" s="351">
        <f t="shared" si="22"/>
        <v>-4875.3670074991223</v>
      </c>
      <c r="AN34" s="351">
        <f t="shared" si="23"/>
        <v>1519.648648135681</v>
      </c>
      <c r="AO34" s="351">
        <f t="shared" si="24"/>
        <v>-9846.0237038085379</v>
      </c>
      <c r="AP34" s="351">
        <f t="shared" si="25"/>
        <v>4875.3670074991223</v>
      </c>
      <c r="AQ34" s="351">
        <f t="shared" si="26"/>
        <v>1250.351351864319</v>
      </c>
      <c r="AR34" s="351">
        <f t="shared" si="27"/>
        <v>0</v>
      </c>
      <c r="AS34" s="351"/>
      <c r="AT34" s="351"/>
      <c r="AU34" s="351"/>
      <c r="AV34" s="351"/>
      <c r="AW34" s="351">
        <f t="shared" si="28"/>
        <v>-1234.6486481356812</v>
      </c>
      <c r="AX34" s="351"/>
      <c r="AY34" s="351">
        <f t="shared" si="29"/>
        <v>-965.35135186431876</v>
      </c>
      <c r="AZ34" s="321">
        <f t="shared" si="30"/>
        <v>-4875.3670074991223</v>
      </c>
      <c r="BA34" s="321">
        <f t="shared" si="31"/>
        <v>-11380.375055672857</v>
      </c>
      <c r="BB34" s="351">
        <f t="shared" si="32"/>
        <v>-4875.3670074991223</v>
      </c>
      <c r="BC34" s="351">
        <f t="shared" si="33"/>
        <v>277.29729627136226</v>
      </c>
      <c r="BD34" s="351"/>
      <c r="BE34" s="351"/>
      <c r="BF34" s="351">
        <f t="shared" si="34"/>
        <v>-8395.2925847449478</v>
      </c>
      <c r="BG34" s="352">
        <f t="shared" si="35"/>
        <v>12895.54792069597</v>
      </c>
      <c r="BI34" s="302">
        <f t="shared" si="36"/>
        <v>0.47138160399966317</v>
      </c>
      <c r="BJ34" s="302">
        <f t="shared" si="37"/>
        <v>0.83543347319846173</v>
      </c>
      <c r="BK34" s="302">
        <f t="shared" si="38"/>
        <v>27.008176449287784</v>
      </c>
      <c r="BL34" s="343">
        <f t="shared" si="39"/>
        <v>47.866812078227632</v>
      </c>
      <c r="BV34" s="203"/>
      <c r="BW34" s="203"/>
      <c r="BX34" s="203"/>
      <c r="BY34" s="203"/>
      <c r="CH34" s="202"/>
      <c r="DM34" s="203"/>
    </row>
    <row r="35" spans="1:117" x14ac:dyDescent="0.25">
      <c r="B35" s="323">
        <f t="shared" si="40"/>
        <v>4884</v>
      </c>
      <c r="C35" s="324">
        <f t="shared" si="0"/>
        <v>3124.917614906517</v>
      </c>
      <c r="D35" s="234">
        <f t="shared" si="1"/>
        <v>15435.358932300482</v>
      </c>
      <c r="E35" s="225"/>
      <c r="F35" s="346">
        <f t="shared" si="2"/>
        <v>2984.8979882066324</v>
      </c>
      <c r="G35" s="318">
        <f t="shared" si="41"/>
        <v>1628</v>
      </c>
      <c r="H35" s="318">
        <f t="shared" si="42"/>
        <v>2984.8979882066324</v>
      </c>
      <c r="I35" s="318">
        <f>0</f>
        <v>0</v>
      </c>
      <c r="J35" s="318">
        <f>0</f>
        <v>0</v>
      </c>
      <c r="K35" s="318">
        <f t="shared" si="3"/>
        <v>1628</v>
      </c>
      <c r="L35" s="318">
        <f t="shared" si="4"/>
        <v>2984.8979882066324</v>
      </c>
      <c r="M35" s="318">
        <f t="shared" si="5"/>
        <v>3256</v>
      </c>
      <c r="N35" s="321">
        <f>0</f>
        <v>0</v>
      </c>
      <c r="O35" s="321">
        <f t="shared" si="6"/>
        <v>3256</v>
      </c>
      <c r="P35" s="321">
        <f t="shared" si="7"/>
        <v>2984.8979882066324</v>
      </c>
      <c r="Q35" s="279">
        <f t="shared" si="8"/>
        <v>4884</v>
      </c>
      <c r="R35" s="279">
        <f>0</f>
        <v>0</v>
      </c>
      <c r="S35" s="321">
        <f t="shared" si="9"/>
        <v>4884</v>
      </c>
      <c r="T35" s="318">
        <f t="shared" si="10"/>
        <v>1492.4489941033162</v>
      </c>
      <c r="U35" s="318">
        <f t="shared" si="11"/>
        <v>814</v>
      </c>
      <c r="V35" s="320">
        <f t="shared" si="12"/>
        <v>1492.4489941033162</v>
      </c>
      <c r="W35" s="320">
        <f t="shared" si="13"/>
        <v>2442</v>
      </c>
      <c r="X35" s="320">
        <f t="shared" si="14"/>
        <v>1492.4489941033162</v>
      </c>
      <c r="Y35" s="320">
        <f t="shared" si="15"/>
        <v>4070</v>
      </c>
      <c r="Z35" s="318">
        <f t="shared" si="43"/>
        <v>478.86435085999392</v>
      </c>
      <c r="AA35" s="320">
        <f t="shared" si="16"/>
        <v>3631.0852349472539</v>
      </c>
      <c r="AB35" s="318">
        <f t="shared" si="17"/>
        <v>2506.0336373466384</v>
      </c>
      <c r="AC35" s="320">
        <f t="shared" si="18"/>
        <v>1252.9147650527461</v>
      </c>
      <c r="AD35" s="320">
        <f t="shared" si="44"/>
        <v>1492.4489941033162</v>
      </c>
      <c r="AE35" s="320">
        <f t="shared" si="19"/>
        <v>1492.4489941033162</v>
      </c>
      <c r="AF35" s="320">
        <f>p_*Xi/AI - q*Yi/AI</f>
        <v>1492.4489941033162</v>
      </c>
      <c r="AG35" s="320">
        <f>Xd +r_*Xi/AI + s*Yi/AI</f>
        <v>1492.4489941033162</v>
      </c>
      <c r="AH35" s="320">
        <f>p_*Xi/AI - q*Yi/AI</f>
        <v>1492.4489941033162</v>
      </c>
      <c r="AI35" s="347">
        <f>Xd +r_*Xi/AI + s*Yi/AI</f>
        <v>1492.4489941033162</v>
      </c>
      <c r="AK35" s="321">
        <f t="shared" si="20"/>
        <v>8153.4441394433425</v>
      </c>
      <c r="AL35" s="321">
        <f t="shared" si="21"/>
        <v>439.01436721856226</v>
      </c>
      <c r="AM35" s="351">
        <f t="shared" si="22"/>
        <v>-4556.1864254873963</v>
      </c>
      <c r="AN35" s="351">
        <f t="shared" si="23"/>
        <v>1537.97414343029</v>
      </c>
      <c r="AO35" s="351">
        <f t="shared" si="24"/>
        <v>-10206.182916185315</v>
      </c>
      <c r="AP35" s="351">
        <f t="shared" si="25"/>
        <v>4556.1864254873963</v>
      </c>
      <c r="AQ35" s="351">
        <f t="shared" si="26"/>
        <v>1232.02585656971</v>
      </c>
      <c r="AR35" s="351">
        <f t="shared" si="27"/>
        <v>0</v>
      </c>
      <c r="AS35" s="351"/>
      <c r="AT35" s="351"/>
      <c r="AU35" s="351"/>
      <c r="AV35" s="351"/>
      <c r="AW35" s="351">
        <f t="shared" si="28"/>
        <v>-1252.9741434302896</v>
      </c>
      <c r="AX35" s="351"/>
      <c r="AY35" s="351">
        <f t="shared" si="29"/>
        <v>-947.02585656971041</v>
      </c>
      <c r="AZ35" s="321">
        <f t="shared" si="30"/>
        <v>-4556.1864254873963</v>
      </c>
      <c r="BA35" s="321">
        <f t="shared" si="31"/>
        <v>-11722.208772755024</v>
      </c>
      <c r="BB35" s="351">
        <f t="shared" si="32"/>
        <v>-4556.1864254873963</v>
      </c>
      <c r="BC35" s="351">
        <f t="shared" si="33"/>
        <v>313.94828686057963</v>
      </c>
      <c r="BD35" s="351"/>
      <c r="BE35" s="351"/>
      <c r="BF35" s="351">
        <f t="shared" si="34"/>
        <v>-8153.4441394433425</v>
      </c>
      <c r="BG35" s="352">
        <f t="shared" si="35"/>
        <v>13106.168548966752</v>
      </c>
      <c r="BI35" s="302">
        <f t="shared" si="36"/>
        <v>0.49931414261768758</v>
      </c>
      <c r="BJ35" s="302">
        <f t="shared" si="37"/>
        <v>0.8649065019160157</v>
      </c>
      <c r="BK35" s="302">
        <f t="shared" si="38"/>
        <v>28.608593023186771</v>
      </c>
      <c r="BL35" s="343">
        <f t="shared" si="39"/>
        <v>49.555492233211346</v>
      </c>
      <c r="BV35" s="203"/>
      <c r="BW35" s="203"/>
      <c r="BX35" s="203"/>
      <c r="BY35" s="203"/>
      <c r="CH35" s="202"/>
      <c r="DM35" s="203"/>
    </row>
    <row r="36" spans="1:117" x14ac:dyDescent="0.25">
      <c r="B36" s="323">
        <f t="shared" si="40"/>
        <v>5136</v>
      </c>
      <c r="C36" s="324">
        <f t="shared" si="0"/>
        <v>3193.9172937687044</v>
      </c>
      <c r="D36" s="234">
        <f t="shared" si="1"/>
        <v>15537.984941779709</v>
      </c>
      <c r="E36" s="225"/>
      <c r="F36" s="346">
        <f t="shared" si="2"/>
        <v>2937.5254892511148</v>
      </c>
      <c r="G36" s="318">
        <f t="shared" si="41"/>
        <v>1712</v>
      </c>
      <c r="H36" s="318">
        <f t="shared" si="42"/>
        <v>2937.5254892511148</v>
      </c>
      <c r="I36" s="318">
        <f>0</f>
        <v>0</v>
      </c>
      <c r="J36" s="318">
        <f>0</f>
        <v>0</v>
      </c>
      <c r="K36" s="318">
        <f t="shared" si="3"/>
        <v>1712</v>
      </c>
      <c r="L36" s="318">
        <f t="shared" si="4"/>
        <v>2937.5254892511148</v>
      </c>
      <c r="M36" s="318">
        <f t="shared" si="5"/>
        <v>3424</v>
      </c>
      <c r="N36" s="321">
        <f>0</f>
        <v>0</v>
      </c>
      <c r="O36" s="321">
        <f t="shared" si="6"/>
        <v>3424</v>
      </c>
      <c r="P36" s="321">
        <f t="shared" si="7"/>
        <v>2937.5254892511148</v>
      </c>
      <c r="Q36" s="279">
        <f t="shared" si="8"/>
        <v>5136</v>
      </c>
      <c r="R36" s="279">
        <f>0</f>
        <v>0</v>
      </c>
      <c r="S36" s="321">
        <f t="shared" si="9"/>
        <v>5136</v>
      </c>
      <c r="T36" s="318">
        <f t="shared" si="10"/>
        <v>1468.7627446255574</v>
      </c>
      <c r="U36" s="318">
        <f t="shared" si="11"/>
        <v>856</v>
      </c>
      <c r="V36" s="320">
        <f t="shared" si="12"/>
        <v>1468.7627446255574</v>
      </c>
      <c r="W36" s="320">
        <f t="shared" si="13"/>
        <v>2568</v>
      </c>
      <c r="X36" s="320">
        <f t="shared" si="14"/>
        <v>1468.7627446255574</v>
      </c>
      <c r="Y36" s="320">
        <f t="shared" si="15"/>
        <v>4280</v>
      </c>
      <c r="Z36" s="318">
        <f t="shared" si="43"/>
        <v>468.0339098678437</v>
      </c>
      <c r="AA36" s="320">
        <f t="shared" si="16"/>
        <v>3812.5154555662093</v>
      </c>
      <c r="AB36" s="318">
        <f t="shared" si="17"/>
        <v>2469.4915793832711</v>
      </c>
      <c r="AC36" s="320">
        <f t="shared" si="18"/>
        <v>1323.4845444337907</v>
      </c>
      <c r="AD36" s="320">
        <f t="shared" si="44"/>
        <v>1468.7627446255572</v>
      </c>
      <c r="AE36" s="320">
        <f t="shared" si="19"/>
        <v>1468.7627446255572</v>
      </c>
      <c r="AF36" s="320">
        <f>p_*Xi/AI - q*Yi/AI</f>
        <v>1468.7627446255572</v>
      </c>
      <c r="AG36" s="320">
        <f>Xd +r_*Xi/AI + s*Yi/AI</f>
        <v>1468.7627446255572</v>
      </c>
      <c r="AH36" s="320">
        <f>p_*Xi/AI - q*Yi/AI</f>
        <v>1468.7627446255572</v>
      </c>
      <c r="AI36" s="347">
        <f>Xd +r_*Xi/AI + s*Yi/AI</f>
        <v>1468.7627446255572</v>
      </c>
      <c r="AK36" s="321">
        <f t="shared" si="20"/>
        <v>7955.2051414343159</v>
      </c>
      <c r="AL36" s="321">
        <f t="shared" si="21"/>
        <v>608.14058832360024</v>
      </c>
      <c r="AM36" s="351">
        <f t="shared" si="22"/>
        <v>-4263.8731546664831</v>
      </c>
      <c r="AN36" s="351">
        <f t="shared" si="23"/>
        <v>1558.1804417307251</v>
      </c>
      <c r="AO36" s="351">
        <f t="shared" si="24"/>
        <v>-10616.188471981994</v>
      </c>
      <c r="AP36" s="351">
        <f t="shared" si="25"/>
        <v>4263.8731546664831</v>
      </c>
      <c r="AQ36" s="351">
        <f t="shared" si="26"/>
        <v>1211.8195582692749</v>
      </c>
      <c r="AR36" s="351">
        <f t="shared" si="27"/>
        <v>0</v>
      </c>
      <c r="AS36" s="351"/>
      <c r="AT36" s="351"/>
      <c r="AU36" s="351"/>
      <c r="AV36" s="351"/>
      <c r="AW36" s="351">
        <f t="shared" si="28"/>
        <v>-1273.1804417307255</v>
      </c>
      <c r="AX36" s="351"/>
      <c r="AY36" s="351">
        <f t="shared" si="29"/>
        <v>-926.81955826927447</v>
      </c>
      <c r="AZ36" s="321">
        <f t="shared" si="30"/>
        <v>-4263.8731546664831</v>
      </c>
      <c r="BA36" s="321">
        <f t="shared" si="31"/>
        <v>-12112.008030251269</v>
      </c>
      <c r="BB36" s="351">
        <f t="shared" si="32"/>
        <v>-4263.8731546664831</v>
      </c>
      <c r="BC36" s="351">
        <f t="shared" si="33"/>
        <v>354.36088346145061</v>
      </c>
      <c r="BD36" s="351"/>
      <c r="BE36" s="351"/>
      <c r="BF36" s="351">
        <f t="shared" si="34"/>
        <v>-7955.2051414343159</v>
      </c>
      <c r="BG36" s="352">
        <f t="shared" si="35"/>
        <v>13347.047883658393</v>
      </c>
      <c r="BI36" s="302">
        <f t="shared" si="36"/>
        <v>0.52767900652370525</v>
      </c>
      <c r="BJ36" s="302">
        <f t="shared" si="37"/>
        <v>0.89355356885368231</v>
      </c>
      <c r="BK36" s="302">
        <f t="shared" si="38"/>
        <v>30.233780011464546</v>
      </c>
      <c r="BL36" s="343">
        <f t="shared" si="39"/>
        <v>51.196848264168409</v>
      </c>
      <c r="BV36" s="203"/>
      <c r="BW36" s="203"/>
      <c r="BX36" s="203"/>
      <c r="BY36" s="203"/>
      <c r="CH36" s="202"/>
      <c r="DM36" s="203"/>
    </row>
    <row r="37" spans="1:117" x14ac:dyDescent="0.25">
      <c r="B37" s="323">
        <f t="shared" si="40"/>
        <v>5388</v>
      </c>
      <c r="C37" s="324">
        <f t="shared" si="0"/>
        <v>3264.0151471875711</v>
      </c>
      <c r="D37" s="234">
        <f t="shared" si="1"/>
        <v>15698.230171723375</v>
      </c>
      <c r="E37" s="225"/>
      <c r="F37" s="346">
        <f t="shared" si="2"/>
        <v>2886.933321017304</v>
      </c>
      <c r="G37" s="318">
        <f t="shared" si="41"/>
        <v>1796</v>
      </c>
      <c r="H37" s="318">
        <f t="shared" si="42"/>
        <v>2886.933321017304</v>
      </c>
      <c r="I37" s="318">
        <f>0</f>
        <v>0</v>
      </c>
      <c r="J37" s="318">
        <f>0</f>
        <v>0</v>
      </c>
      <c r="K37" s="318">
        <f t="shared" si="3"/>
        <v>1796</v>
      </c>
      <c r="L37" s="318">
        <f t="shared" si="4"/>
        <v>2886.933321017304</v>
      </c>
      <c r="M37" s="318">
        <f t="shared" si="5"/>
        <v>3592</v>
      </c>
      <c r="N37" s="321">
        <f>0</f>
        <v>0</v>
      </c>
      <c r="O37" s="321">
        <f t="shared" si="6"/>
        <v>3592</v>
      </c>
      <c r="P37" s="321">
        <f t="shared" si="7"/>
        <v>2886.933321017304</v>
      </c>
      <c r="Q37" s="279">
        <f t="shared" si="8"/>
        <v>5388</v>
      </c>
      <c r="R37" s="279">
        <f>0</f>
        <v>0</v>
      </c>
      <c r="S37" s="321">
        <f t="shared" si="9"/>
        <v>5388</v>
      </c>
      <c r="T37" s="318">
        <f t="shared" si="10"/>
        <v>1443.466660508652</v>
      </c>
      <c r="U37" s="318">
        <f t="shared" si="11"/>
        <v>898</v>
      </c>
      <c r="V37" s="320">
        <f t="shared" si="12"/>
        <v>1443.466660508652</v>
      </c>
      <c r="W37" s="320">
        <f t="shared" si="13"/>
        <v>2694</v>
      </c>
      <c r="X37" s="320">
        <f t="shared" si="14"/>
        <v>1443.466660508652</v>
      </c>
      <c r="Y37" s="320">
        <f t="shared" si="15"/>
        <v>4490</v>
      </c>
      <c r="Z37" s="318">
        <f t="shared" si="43"/>
        <v>456.63529194423012</v>
      </c>
      <c r="AA37" s="320">
        <f t="shared" si="16"/>
        <v>3993.8509800299207</v>
      </c>
      <c r="AB37" s="318">
        <f t="shared" si="17"/>
        <v>2430.2980290730738</v>
      </c>
      <c r="AC37" s="320">
        <f t="shared" si="18"/>
        <v>1394.1490199700793</v>
      </c>
      <c r="AD37" s="320">
        <f t="shared" si="44"/>
        <v>1443.466660508652</v>
      </c>
      <c r="AE37" s="320">
        <f t="shared" si="19"/>
        <v>1443.466660508652</v>
      </c>
      <c r="AF37" s="320">
        <f>p_*Xi/AI - q*Yi/AI</f>
        <v>1443.466660508652</v>
      </c>
      <c r="AG37" s="320">
        <f>Xd +r_*Xi/AI + s*Yi/AI</f>
        <v>1443.466660508652</v>
      </c>
      <c r="AH37" s="320">
        <f>p_*Xi/AI - q*Yi/AI</f>
        <v>1443.466660508652</v>
      </c>
      <c r="AI37" s="347">
        <f>Xd +r_*Xi/AI + s*Yi/AI</f>
        <v>1443.466660508652</v>
      </c>
      <c r="AK37" s="321">
        <f t="shared" si="20"/>
        <v>7798.5895667796958</v>
      </c>
      <c r="AL37" s="321">
        <f t="shared" si="21"/>
        <v>801.11499136346174</v>
      </c>
      <c r="AM37" s="351">
        <f t="shared" si="22"/>
        <v>-3994.4483868195989</v>
      </c>
      <c r="AN37" s="351">
        <f t="shared" si="23"/>
        <v>1580.4923387984895</v>
      </c>
      <c r="AO37" s="351">
        <f t="shared" si="24"/>
        <v>-11086.227119987512</v>
      </c>
      <c r="AP37" s="351">
        <f t="shared" si="25"/>
        <v>3994.4483868195989</v>
      </c>
      <c r="AQ37" s="351">
        <f t="shared" si="26"/>
        <v>1189.5076612015105</v>
      </c>
      <c r="AR37" s="351">
        <f t="shared" si="27"/>
        <v>0</v>
      </c>
      <c r="AS37" s="351"/>
      <c r="AT37" s="351"/>
      <c r="AU37" s="351"/>
      <c r="AV37" s="351"/>
      <c r="AW37" s="351">
        <f t="shared" si="28"/>
        <v>-1295.4923387984902</v>
      </c>
      <c r="AX37" s="351"/>
      <c r="AY37" s="351">
        <f t="shared" si="29"/>
        <v>-904.50766120150979</v>
      </c>
      <c r="AZ37" s="321">
        <f t="shared" si="30"/>
        <v>-3994.4483868195989</v>
      </c>
      <c r="BA37" s="321">
        <f t="shared" si="31"/>
        <v>-12559.734781189023</v>
      </c>
      <c r="BB37" s="351">
        <f t="shared" si="32"/>
        <v>-3994.4483868195989</v>
      </c>
      <c r="BC37" s="351">
        <f t="shared" si="33"/>
        <v>398.98467759697974</v>
      </c>
      <c r="BD37" s="351"/>
      <c r="BE37" s="351"/>
      <c r="BF37" s="351">
        <f t="shared" si="34"/>
        <v>-7798.5895667796958</v>
      </c>
      <c r="BG37" s="352">
        <f t="shared" si="35"/>
        <v>13624.11212862405</v>
      </c>
      <c r="BI37" s="302">
        <f t="shared" si="36"/>
        <v>0.55652088855129367</v>
      </c>
      <c r="BJ37" s="302">
        <f t="shared" si="37"/>
        <v>0.92144073450013708</v>
      </c>
      <c r="BK37" s="302">
        <f t="shared" si="38"/>
        <v>31.886298124859582</v>
      </c>
      <c r="BL37" s="343">
        <f t="shared" si="39"/>
        <v>52.794665158292482</v>
      </c>
      <c r="BV37" s="203"/>
      <c r="BW37" s="203"/>
      <c r="BX37" s="203"/>
      <c r="BY37" s="203"/>
      <c r="CH37" s="202"/>
      <c r="DM37" s="203"/>
    </row>
    <row r="38" spans="1:117" x14ac:dyDescent="0.25">
      <c r="B38" s="323">
        <f t="shared" si="40"/>
        <v>5640</v>
      </c>
      <c r="C38" s="324">
        <f t="shared" si="0"/>
        <v>3335.1018719022645</v>
      </c>
      <c r="D38" s="234">
        <f t="shared" si="1"/>
        <v>15921.466857474225</v>
      </c>
      <c r="E38" s="225"/>
      <c r="F38" s="346">
        <f t="shared" si="2"/>
        <v>2832.9489935401239</v>
      </c>
      <c r="G38" s="318">
        <f t="shared" si="41"/>
        <v>1880</v>
      </c>
      <c r="H38" s="318">
        <f t="shared" si="42"/>
        <v>2832.9489935401239</v>
      </c>
      <c r="I38" s="318">
        <f>0</f>
        <v>0</v>
      </c>
      <c r="J38" s="318">
        <f>0</f>
        <v>0</v>
      </c>
      <c r="K38" s="318">
        <f t="shared" si="3"/>
        <v>1880</v>
      </c>
      <c r="L38" s="318">
        <f t="shared" si="4"/>
        <v>2832.9489935401239</v>
      </c>
      <c r="M38" s="318">
        <f t="shared" si="5"/>
        <v>3760</v>
      </c>
      <c r="N38" s="321">
        <f>0</f>
        <v>0</v>
      </c>
      <c r="O38" s="321">
        <f t="shared" si="6"/>
        <v>3760</v>
      </c>
      <c r="P38" s="321">
        <f t="shared" si="7"/>
        <v>2832.9489935401239</v>
      </c>
      <c r="Q38" s="279">
        <f t="shared" si="8"/>
        <v>5640</v>
      </c>
      <c r="R38" s="279">
        <f>0</f>
        <v>0</v>
      </c>
      <c r="S38" s="321">
        <f t="shared" si="9"/>
        <v>5640</v>
      </c>
      <c r="T38" s="318">
        <f t="shared" si="10"/>
        <v>1416.4744967700619</v>
      </c>
      <c r="U38" s="318">
        <f t="shared" si="11"/>
        <v>940</v>
      </c>
      <c r="V38" s="320">
        <f t="shared" si="12"/>
        <v>1416.4744967700619</v>
      </c>
      <c r="W38" s="320">
        <f t="shared" si="13"/>
        <v>2820</v>
      </c>
      <c r="X38" s="320">
        <f t="shared" si="14"/>
        <v>1416.4744967700619</v>
      </c>
      <c r="Y38" s="320">
        <f t="shared" si="15"/>
        <v>4700</v>
      </c>
      <c r="Z38" s="318">
        <f t="shared" si="43"/>
        <v>444.63805768355121</v>
      </c>
      <c r="AA38" s="320">
        <f t="shared" si="16"/>
        <v>4175.0867351041215</v>
      </c>
      <c r="AB38" s="318">
        <f t="shared" si="17"/>
        <v>2388.3109358565725</v>
      </c>
      <c r="AC38" s="320">
        <f t="shared" si="18"/>
        <v>1464.9132648958787</v>
      </c>
      <c r="AD38" s="320">
        <f t="shared" si="44"/>
        <v>1416.4744967700619</v>
      </c>
      <c r="AE38" s="320">
        <f t="shared" si="19"/>
        <v>1416.4744967700619</v>
      </c>
      <c r="AF38" s="320">
        <f>p_*Xi/AI - q*Yi/AI</f>
        <v>1416.4744967700619</v>
      </c>
      <c r="AG38" s="320">
        <f>Xd +r_*Xi/AI + s*Yi/AI</f>
        <v>1416.4744967700619</v>
      </c>
      <c r="AH38" s="320">
        <f>p_*Xi/AI - q*Yi/AI</f>
        <v>1416.4744967700619</v>
      </c>
      <c r="AI38" s="347">
        <f>Xd +r_*Xi/AI + s*Yi/AI</f>
        <v>1416.4744967700619</v>
      </c>
      <c r="AK38" s="321">
        <f t="shared" si="20"/>
        <v>7683.0296840310784</v>
      </c>
      <c r="AL38" s="321">
        <f t="shared" si="21"/>
        <v>1023.4287081718085</v>
      </c>
      <c r="AM38" s="351">
        <f t="shared" si="22"/>
        <v>-3744.6160898655357</v>
      </c>
      <c r="AN38" s="351">
        <f t="shared" si="23"/>
        <v>1605.1790814194651</v>
      </c>
      <c r="AO38" s="351">
        <f t="shared" si="24"/>
        <v>-11629.469467092073</v>
      </c>
      <c r="AP38" s="351">
        <f t="shared" si="25"/>
        <v>3744.6160898655357</v>
      </c>
      <c r="AQ38" s="351">
        <f t="shared" si="26"/>
        <v>1164.8209185805349</v>
      </c>
      <c r="AR38" s="351">
        <f t="shared" si="27"/>
        <v>0</v>
      </c>
      <c r="AS38" s="351"/>
      <c r="AT38" s="351"/>
      <c r="AU38" s="351"/>
      <c r="AV38" s="351"/>
      <c r="AW38" s="351">
        <f t="shared" si="28"/>
        <v>-1320.1790814194655</v>
      </c>
      <c r="AX38" s="351"/>
      <c r="AY38" s="351">
        <f t="shared" si="29"/>
        <v>-879.82091858053445</v>
      </c>
      <c r="AZ38" s="321">
        <f t="shared" si="30"/>
        <v>-3744.6160898655357</v>
      </c>
      <c r="BA38" s="321">
        <f t="shared" si="31"/>
        <v>-13078.290385672608</v>
      </c>
      <c r="BB38" s="351">
        <f t="shared" si="32"/>
        <v>-3744.6160898655357</v>
      </c>
      <c r="BC38" s="351">
        <f t="shared" si="33"/>
        <v>448.35816283893064</v>
      </c>
      <c r="BD38" s="351"/>
      <c r="BE38" s="351"/>
      <c r="BF38" s="351">
        <f t="shared" si="34"/>
        <v>-7683.0296840310784</v>
      </c>
      <c r="BG38" s="352">
        <f t="shared" si="35"/>
        <v>13945.040758920264</v>
      </c>
      <c r="BI38" s="302">
        <f t="shared" si="36"/>
        <v>0.5858900110180093</v>
      </c>
      <c r="BJ38" s="302">
        <f t="shared" si="37"/>
        <v>0.94863525019670247</v>
      </c>
      <c r="BK38" s="302">
        <f t="shared" si="38"/>
        <v>33.569024890205235</v>
      </c>
      <c r="BL38" s="343">
        <f t="shared" si="39"/>
        <v>54.352796133607946</v>
      </c>
      <c r="BV38" s="203"/>
      <c r="BW38" s="203"/>
      <c r="BX38" s="203"/>
      <c r="BY38" s="203"/>
      <c r="CH38" s="202"/>
      <c r="DM38" s="203"/>
    </row>
    <row r="39" spans="1:117" x14ac:dyDescent="0.25">
      <c r="B39" s="323">
        <f t="shared" si="40"/>
        <v>5892</v>
      </c>
      <c r="C39" s="324">
        <f t="shared" si="0"/>
        <v>3407.0726318380548</v>
      </c>
      <c r="D39" s="234">
        <f t="shared" si="1"/>
        <v>16216.226051512316</v>
      </c>
      <c r="E39" s="225"/>
      <c r="F39" s="346">
        <f t="shared" si="2"/>
        <v>2775.3745693149244</v>
      </c>
      <c r="G39" s="318">
        <f t="shared" si="41"/>
        <v>1964</v>
      </c>
      <c r="H39" s="318">
        <f t="shared" si="42"/>
        <v>2775.3745693149244</v>
      </c>
      <c r="I39" s="318">
        <f>0</f>
        <v>0</v>
      </c>
      <c r="J39" s="318">
        <f>0</f>
        <v>0</v>
      </c>
      <c r="K39" s="318">
        <f t="shared" si="3"/>
        <v>1964</v>
      </c>
      <c r="L39" s="318">
        <f t="shared" si="4"/>
        <v>2775.3745693149244</v>
      </c>
      <c r="M39" s="318">
        <f t="shared" si="5"/>
        <v>3928</v>
      </c>
      <c r="N39" s="321">
        <f>0</f>
        <v>0</v>
      </c>
      <c r="O39" s="321">
        <f t="shared" si="6"/>
        <v>3928</v>
      </c>
      <c r="P39" s="321">
        <f t="shared" si="7"/>
        <v>2775.3745693149244</v>
      </c>
      <c r="Q39" s="279">
        <f t="shared" si="8"/>
        <v>5892</v>
      </c>
      <c r="R39" s="279">
        <f>0</f>
        <v>0</v>
      </c>
      <c r="S39" s="321">
        <f t="shared" si="9"/>
        <v>5892</v>
      </c>
      <c r="T39" s="318">
        <f t="shared" si="10"/>
        <v>1387.6872846574622</v>
      </c>
      <c r="U39" s="318">
        <f t="shared" si="11"/>
        <v>982</v>
      </c>
      <c r="V39" s="320">
        <f t="shared" si="12"/>
        <v>1387.6872846574622</v>
      </c>
      <c r="W39" s="320">
        <f t="shared" si="13"/>
        <v>2946</v>
      </c>
      <c r="X39" s="320">
        <f t="shared" si="14"/>
        <v>1387.6872846574622</v>
      </c>
      <c r="Y39" s="320">
        <f t="shared" si="15"/>
        <v>4910</v>
      </c>
      <c r="Z39" s="318">
        <f t="shared" si="43"/>
        <v>432.00727693792783</v>
      </c>
      <c r="AA39" s="320">
        <f t="shared" si="16"/>
        <v>4356.2168990974978</v>
      </c>
      <c r="AB39" s="318">
        <f t="shared" si="17"/>
        <v>2343.3672923769968</v>
      </c>
      <c r="AC39" s="320">
        <f t="shared" si="18"/>
        <v>1535.7831009025022</v>
      </c>
      <c r="AD39" s="320">
        <f t="shared" si="44"/>
        <v>1387.6872846574622</v>
      </c>
      <c r="AE39" s="320">
        <f t="shared" si="19"/>
        <v>1387.6872846574622</v>
      </c>
      <c r="AF39" s="320">
        <f>p_*Xi/AI - q*Yi/AI</f>
        <v>1387.6872846574622</v>
      </c>
      <c r="AG39" s="320">
        <f>Xd +r_*Xi/AI + s*Yi/AI</f>
        <v>1387.6872846574622</v>
      </c>
      <c r="AH39" s="320">
        <f>p_*Xi/AI - q*Yi/AI</f>
        <v>1387.6872846574622</v>
      </c>
      <c r="AI39" s="347">
        <f>Xd +r_*Xi/AI + s*Yi/AI</f>
        <v>1387.6872846574622</v>
      </c>
      <c r="AK39" s="321">
        <f t="shared" si="20"/>
        <v>7609.499763382647</v>
      </c>
      <c r="AL39" s="321">
        <f t="shared" si="21"/>
        <v>1282.3136149508591</v>
      </c>
      <c r="AM39" s="351">
        <f t="shared" si="22"/>
        <v>-3511.6119168775904</v>
      </c>
      <c r="AN39" s="351">
        <f t="shared" si="23"/>
        <v>1632.565853398731</v>
      </c>
      <c r="AO39" s="351">
        <f t="shared" si="24"/>
        <v>-12263.28221494528</v>
      </c>
      <c r="AP39" s="351">
        <f t="shared" si="25"/>
        <v>3511.6119168775904</v>
      </c>
      <c r="AQ39" s="351">
        <f t="shared" si="26"/>
        <v>1137.434146601269</v>
      </c>
      <c r="AR39" s="351">
        <f t="shared" si="27"/>
        <v>0</v>
      </c>
      <c r="AS39" s="351"/>
      <c r="AT39" s="351"/>
      <c r="AU39" s="351"/>
      <c r="AV39" s="351"/>
      <c r="AW39" s="351">
        <f t="shared" si="28"/>
        <v>-1347.5658533987305</v>
      </c>
      <c r="AX39" s="351"/>
      <c r="AY39" s="351">
        <f t="shared" si="29"/>
        <v>-852.4341466012695</v>
      </c>
      <c r="AZ39" s="321">
        <f t="shared" si="30"/>
        <v>-3511.6119168775904</v>
      </c>
      <c r="BA39" s="321">
        <f t="shared" si="31"/>
        <v>-13684.716361546549</v>
      </c>
      <c r="BB39" s="351">
        <f t="shared" si="32"/>
        <v>-3511.6119168775904</v>
      </c>
      <c r="BC39" s="351">
        <f t="shared" si="33"/>
        <v>503.13170679746145</v>
      </c>
      <c r="BD39" s="351"/>
      <c r="BE39" s="351"/>
      <c r="BF39" s="351">
        <f t="shared" si="34"/>
        <v>-7609.499763382647</v>
      </c>
      <c r="BG39" s="352">
        <f t="shared" si="35"/>
        <v>14319.968599994421</v>
      </c>
      <c r="BI39" s="302">
        <f t="shared" si="36"/>
        <v>0.61584324698605397</v>
      </c>
      <c r="BJ39" s="302">
        <f t="shared" si="37"/>
        <v>0.97520576343161613</v>
      </c>
      <c r="BK39" s="302">
        <f t="shared" si="38"/>
        <v>35.285218893933646</v>
      </c>
      <c r="BL39" s="343">
        <f t="shared" si="39"/>
        <v>55.875174401464996</v>
      </c>
      <c r="BV39" s="203"/>
      <c r="BW39" s="203"/>
      <c r="BX39" s="203"/>
      <c r="BY39" s="203"/>
      <c r="CH39" s="202"/>
      <c r="DM39" s="203"/>
    </row>
    <row r="40" spans="1:117" x14ac:dyDescent="0.25">
      <c r="B40" s="323">
        <f t="shared" si="40"/>
        <v>6144</v>
      </c>
      <c r="C40" s="324">
        <f t="shared" si="0"/>
        <v>3479.826171100894</v>
      </c>
      <c r="D40" s="234">
        <f t="shared" si="1"/>
        <v>16595.235718529755</v>
      </c>
      <c r="E40" s="225"/>
      <c r="F40" s="346">
        <f t="shared" si="2"/>
        <v>2713.9815769455768</v>
      </c>
      <c r="G40" s="318">
        <f t="shared" si="41"/>
        <v>2048</v>
      </c>
      <c r="H40" s="318">
        <f t="shared" si="42"/>
        <v>2713.9815769455768</v>
      </c>
      <c r="I40" s="318">
        <f>0</f>
        <v>0</v>
      </c>
      <c r="J40" s="318">
        <f>0</f>
        <v>0</v>
      </c>
      <c r="K40" s="318">
        <f t="shared" si="3"/>
        <v>2048</v>
      </c>
      <c r="L40" s="318">
        <f t="shared" si="4"/>
        <v>2713.9815769455768</v>
      </c>
      <c r="M40" s="318">
        <f t="shared" si="5"/>
        <v>4096</v>
      </c>
      <c r="N40" s="321">
        <f>0</f>
        <v>0</v>
      </c>
      <c r="O40" s="321">
        <f t="shared" si="6"/>
        <v>4096</v>
      </c>
      <c r="P40" s="321">
        <f t="shared" si="7"/>
        <v>2713.9815769455768</v>
      </c>
      <c r="Q40" s="279">
        <f t="shared" si="8"/>
        <v>6144</v>
      </c>
      <c r="R40" s="279">
        <f>0</f>
        <v>0</v>
      </c>
      <c r="S40" s="321">
        <f t="shared" si="9"/>
        <v>6144</v>
      </c>
      <c r="T40" s="318">
        <f t="shared" si="10"/>
        <v>1356.9907884727884</v>
      </c>
      <c r="U40" s="318">
        <f t="shared" si="11"/>
        <v>1024</v>
      </c>
      <c r="V40" s="320">
        <f t="shared" si="12"/>
        <v>1356.9907884727884</v>
      </c>
      <c r="W40" s="320">
        <f t="shared" si="13"/>
        <v>3072</v>
      </c>
      <c r="X40" s="320">
        <f t="shared" si="14"/>
        <v>1356.9907884727884</v>
      </c>
      <c r="Y40" s="320">
        <f t="shared" si="15"/>
        <v>5120</v>
      </c>
      <c r="Z40" s="318">
        <f t="shared" si="43"/>
        <v>418.70263122569003</v>
      </c>
      <c r="AA40" s="320">
        <f t="shared" si="16"/>
        <v>4537.2347522631044</v>
      </c>
      <c r="AB40" s="318">
        <f t="shared" si="17"/>
        <v>2295.2789457198865</v>
      </c>
      <c r="AC40" s="320">
        <f t="shared" si="18"/>
        <v>1606.7652477368947</v>
      </c>
      <c r="AD40" s="320">
        <f t="shared" si="44"/>
        <v>1356.9907884727884</v>
      </c>
      <c r="AE40" s="320">
        <f t="shared" si="19"/>
        <v>1356.9907884727884</v>
      </c>
      <c r="AF40" s="320">
        <f>p_*Xi/AI - q*Yi/AI</f>
        <v>1356.9907884727884</v>
      </c>
      <c r="AG40" s="320">
        <f>Xd +r_*Xi/AI + s*Yi/AI</f>
        <v>1356.9907884727884</v>
      </c>
      <c r="AH40" s="320">
        <f>p_*Xi/AI - q*Yi/AI</f>
        <v>1356.9907884727884</v>
      </c>
      <c r="AI40" s="347">
        <f>Xd +r_*Xi/AI + s*Yi/AI</f>
        <v>1356.9907884727884</v>
      </c>
      <c r="AK40" s="321">
        <f t="shared" si="20"/>
        <v>7580.8183513341492</v>
      </c>
      <c r="AL40" s="321">
        <f t="shared" si="21"/>
        <v>1587.5187862904495</v>
      </c>
      <c r="AM40" s="351">
        <f t="shared" si="22"/>
        <v>-3293.0879974168743</v>
      </c>
      <c r="AN40" s="351">
        <f t="shared" si="23"/>
        <v>1663.0491480745955</v>
      </c>
      <c r="AO40" s="351">
        <f t="shared" si="24"/>
        <v>-13011.074177469891</v>
      </c>
      <c r="AP40" s="351">
        <f t="shared" si="25"/>
        <v>3293.0879974168743</v>
      </c>
      <c r="AQ40" s="351">
        <f t="shared" si="26"/>
        <v>1106.9508519254045</v>
      </c>
      <c r="AR40" s="351">
        <f t="shared" si="27"/>
        <v>0</v>
      </c>
      <c r="AS40" s="351"/>
      <c r="AT40" s="351"/>
      <c r="AU40" s="351"/>
      <c r="AV40" s="351"/>
      <c r="AW40" s="351">
        <f t="shared" si="28"/>
        <v>-1378.0491480745957</v>
      </c>
      <c r="AX40" s="351"/>
      <c r="AY40" s="351">
        <f t="shared" si="29"/>
        <v>-821.95085192540432</v>
      </c>
      <c r="AZ40" s="321">
        <f t="shared" si="30"/>
        <v>-3293.0879974168743</v>
      </c>
      <c r="BA40" s="321">
        <f t="shared" si="31"/>
        <v>-14402.025029395296</v>
      </c>
      <c r="BB40" s="351">
        <f t="shared" si="32"/>
        <v>-3293.0879974168743</v>
      </c>
      <c r="BC40" s="351">
        <f t="shared" si="33"/>
        <v>564.09829614919113</v>
      </c>
      <c r="BD40" s="351"/>
      <c r="BE40" s="351"/>
      <c r="BF40" s="351">
        <f t="shared" si="34"/>
        <v>-7580.8183513341492</v>
      </c>
      <c r="BG40" s="352">
        <f t="shared" si="35"/>
        <v>14762.555391179441</v>
      </c>
      <c r="BI40" s="302">
        <f t="shared" si="36"/>
        <v>0.64644554064566828</v>
      </c>
      <c r="BJ40" s="302">
        <f t="shared" si="37"/>
        <v>1.0012227369984026</v>
      </c>
      <c r="BK40" s="302">
        <f t="shared" si="38"/>
        <v>37.03860116404951</v>
      </c>
      <c r="BL40" s="343">
        <f t="shared" si="39"/>
        <v>57.365837182545285</v>
      </c>
      <c r="BV40" s="203"/>
      <c r="BW40" s="203"/>
      <c r="BX40" s="203"/>
      <c r="BY40" s="203"/>
      <c r="CH40" s="202"/>
      <c r="DM40" s="203"/>
    </row>
    <row r="41" spans="1:117" x14ac:dyDescent="0.25">
      <c r="B41" s="323">
        <f t="shared" si="40"/>
        <v>6396</v>
      </c>
      <c r="C41" s="324">
        <f t="shared" si="0"/>
        <v>3553.2638040233755</v>
      </c>
      <c r="D41" s="234">
        <f t="shared" si="1"/>
        <v>17077.14407341892</v>
      </c>
      <c r="E41" s="225"/>
      <c r="F41" s="346">
        <f t="shared" si="2"/>
        <v>2648.5044836662069</v>
      </c>
      <c r="G41" s="318">
        <f t="shared" si="41"/>
        <v>2132</v>
      </c>
      <c r="H41" s="318">
        <f t="shared" si="42"/>
        <v>2648.5044836662069</v>
      </c>
      <c r="I41" s="318">
        <f>0</f>
        <v>0</v>
      </c>
      <c r="J41" s="318">
        <f>0</f>
        <v>0</v>
      </c>
      <c r="K41" s="318">
        <f t="shared" si="3"/>
        <v>2132</v>
      </c>
      <c r="L41" s="318">
        <f t="shared" si="4"/>
        <v>2648.5044836662069</v>
      </c>
      <c r="M41" s="318">
        <f t="shared" si="5"/>
        <v>4264</v>
      </c>
      <c r="N41" s="321">
        <f>0</f>
        <v>0</v>
      </c>
      <c r="O41" s="321">
        <f t="shared" si="6"/>
        <v>4264</v>
      </c>
      <c r="P41" s="321">
        <f t="shared" si="7"/>
        <v>2648.5044836662069</v>
      </c>
      <c r="Q41" s="279">
        <f t="shared" si="8"/>
        <v>6396</v>
      </c>
      <c r="R41" s="279">
        <f>0</f>
        <v>0</v>
      </c>
      <c r="S41" s="321">
        <f t="shared" si="9"/>
        <v>6396</v>
      </c>
      <c r="T41" s="318">
        <f t="shared" si="10"/>
        <v>1324.2522418331034</v>
      </c>
      <c r="U41" s="318">
        <f t="shared" si="11"/>
        <v>1066</v>
      </c>
      <c r="V41" s="320">
        <f t="shared" si="12"/>
        <v>1324.2522418331034</v>
      </c>
      <c r="W41" s="320">
        <f t="shared" si="13"/>
        <v>3198</v>
      </c>
      <c r="X41" s="320">
        <f t="shared" si="14"/>
        <v>1324.2522418331034</v>
      </c>
      <c r="Y41" s="320">
        <f t="shared" si="15"/>
        <v>5330</v>
      </c>
      <c r="Z41" s="318">
        <f t="shared" si="43"/>
        <v>404.6772618234483</v>
      </c>
      <c r="AA41" s="320">
        <f t="shared" si="16"/>
        <v>4718.1324848137119</v>
      </c>
      <c r="AB41" s="318">
        <f t="shared" si="17"/>
        <v>2243.8272218427583</v>
      </c>
      <c r="AC41" s="320">
        <f t="shared" si="18"/>
        <v>1677.8675151862881</v>
      </c>
      <c r="AD41" s="320">
        <f t="shared" si="44"/>
        <v>1324.2522418331034</v>
      </c>
      <c r="AE41" s="320">
        <f t="shared" si="19"/>
        <v>1324.2522418331034</v>
      </c>
      <c r="AF41" s="320">
        <f>p_*Xi/AI - q*Yi/AI</f>
        <v>1324.2522418331034</v>
      </c>
      <c r="AG41" s="320">
        <f>Xd +r_*Xi/AI + s*Yi/AI</f>
        <v>1324.2522418331034</v>
      </c>
      <c r="AH41" s="320">
        <f>p_*Xi/AI - q*Yi/AI</f>
        <v>1324.2522418331034</v>
      </c>
      <c r="AI41" s="347">
        <f>Xd +r_*Xi/AI + s*Yi/AI</f>
        <v>1324.2522418331034</v>
      </c>
      <c r="AK41" s="321">
        <f t="shared" si="20"/>
        <v>7602.2160370024649</v>
      </c>
      <c r="AL41" s="321">
        <f t="shared" si="21"/>
        <v>1952.5338810189405</v>
      </c>
      <c r="AM41" s="351">
        <f t="shared" si="22"/>
        <v>-3087.0232841981824</v>
      </c>
      <c r="AN41" s="351">
        <f t="shared" si="23"/>
        <v>1697.117677378021</v>
      </c>
      <c r="AO41" s="351">
        <f t="shared" si="24"/>
        <v>-13905.203542342701</v>
      </c>
      <c r="AP41" s="351">
        <f t="shared" si="25"/>
        <v>3087.0232841981824</v>
      </c>
      <c r="AQ41" s="351">
        <f t="shared" si="26"/>
        <v>1072.882322621979</v>
      </c>
      <c r="AR41" s="351">
        <f t="shared" si="27"/>
        <v>0</v>
      </c>
      <c r="AS41" s="351"/>
      <c r="AT41" s="351"/>
      <c r="AU41" s="351"/>
      <c r="AV41" s="351"/>
      <c r="AW41" s="351">
        <f t="shared" si="28"/>
        <v>-1412.1176773780214</v>
      </c>
      <c r="AX41" s="351"/>
      <c r="AY41" s="351">
        <f t="shared" si="29"/>
        <v>-787.88232262197857</v>
      </c>
      <c r="AZ41" s="321">
        <f t="shared" si="30"/>
        <v>-3087.0232841981824</v>
      </c>
      <c r="BA41" s="321">
        <f t="shared" si="31"/>
        <v>-15262.08586496468</v>
      </c>
      <c r="BB41" s="351">
        <f t="shared" si="32"/>
        <v>-3087.0232841981824</v>
      </c>
      <c r="BC41" s="351">
        <f t="shared" si="33"/>
        <v>632.2353547560424</v>
      </c>
      <c r="BD41" s="351"/>
      <c r="BE41" s="351"/>
      <c r="BF41" s="351">
        <f t="shared" si="34"/>
        <v>-7602.2160370024649</v>
      </c>
      <c r="BG41" s="352">
        <f t="shared" si="35"/>
        <v>15291.66966132376</v>
      </c>
      <c r="BI41" s="302">
        <f t="shared" si="36"/>
        <v>0.67777173138134439</v>
      </c>
      <c r="BJ41" s="302">
        <f t="shared" si="37"/>
        <v>1.0267591143189307</v>
      </c>
      <c r="BK41" s="302">
        <f t="shared" si="38"/>
        <v>38.833459681425566</v>
      </c>
      <c r="BL41" s="343">
        <f t="shared" si="39"/>
        <v>58.828963827065145</v>
      </c>
      <c r="BV41" s="203"/>
      <c r="BW41" s="203"/>
      <c r="BX41" s="203"/>
      <c r="BY41" s="203"/>
      <c r="CH41" s="202"/>
      <c r="DM41" s="203"/>
    </row>
    <row r="42" spans="1:117" x14ac:dyDescent="0.25">
      <c r="A42" s="238"/>
      <c r="B42" s="323">
        <f t="shared" si="40"/>
        <v>6648</v>
      </c>
      <c r="C42" s="324">
        <f t="shared" si="0"/>
        <v>3627.288241530568</v>
      </c>
      <c r="D42" s="234">
        <f t="shared" si="1"/>
        <v>17689.411392561444</v>
      </c>
      <c r="E42" s="225"/>
      <c r="F42" s="346">
        <f t="shared" si="2"/>
        <v>2578.632195564152</v>
      </c>
      <c r="G42" s="318">
        <f t="shared" si="41"/>
        <v>2216</v>
      </c>
      <c r="H42" s="318">
        <f t="shared" si="42"/>
        <v>2578.632195564152</v>
      </c>
      <c r="I42" s="318">
        <f>0</f>
        <v>0</v>
      </c>
      <c r="J42" s="318">
        <f>0</f>
        <v>0</v>
      </c>
      <c r="K42" s="318">
        <f t="shared" si="3"/>
        <v>2216</v>
      </c>
      <c r="L42" s="318">
        <f t="shared" si="4"/>
        <v>2578.632195564152</v>
      </c>
      <c r="M42" s="318">
        <f t="shared" si="5"/>
        <v>4432</v>
      </c>
      <c r="N42" s="321">
        <f>0</f>
        <v>0</v>
      </c>
      <c r="O42" s="321">
        <f t="shared" si="6"/>
        <v>4432</v>
      </c>
      <c r="P42" s="321">
        <f t="shared" si="7"/>
        <v>2578.632195564152</v>
      </c>
      <c r="Q42" s="279">
        <f t="shared" si="8"/>
        <v>6648</v>
      </c>
      <c r="R42" s="279">
        <f>0</f>
        <v>0</v>
      </c>
      <c r="S42" s="321">
        <f t="shared" si="9"/>
        <v>6648</v>
      </c>
      <c r="T42" s="318">
        <f t="shared" si="10"/>
        <v>1289.316097782076</v>
      </c>
      <c r="U42" s="318">
        <f t="shared" si="11"/>
        <v>1108</v>
      </c>
      <c r="V42" s="320">
        <f t="shared" si="12"/>
        <v>1289.316097782076</v>
      </c>
      <c r="W42" s="320">
        <f t="shared" si="13"/>
        <v>3324</v>
      </c>
      <c r="X42" s="320">
        <f t="shared" si="14"/>
        <v>1289.316097782076</v>
      </c>
      <c r="Y42" s="320">
        <f t="shared" si="15"/>
        <v>5540</v>
      </c>
      <c r="Z42" s="318">
        <f t="shared" si="43"/>
        <v>389.87626980543854</v>
      </c>
      <c r="AA42" s="320">
        <f t="shared" si="16"/>
        <v>4898.9009469283574</v>
      </c>
      <c r="AB42" s="318">
        <f t="shared" si="17"/>
        <v>2188.7559257587131</v>
      </c>
      <c r="AC42" s="320">
        <f t="shared" si="18"/>
        <v>1749.0990530716426</v>
      </c>
      <c r="AD42" s="320">
        <f t="shared" si="44"/>
        <v>1289.316097782076</v>
      </c>
      <c r="AE42" s="320">
        <f t="shared" si="19"/>
        <v>1289.316097782076</v>
      </c>
      <c r="AF42" s="320">
        <f>p_*Xi/AI - q*Yi/AI</f>
        <v>1289.316097782076</v>
      </c>
      <c r="AG42" s="320">
        <f>Xd +r_*Xi/AI + s*Yi/AI</f>
        <v>1289.316097782076</v>
      </c>
      <c r="AH42" s="320">
        <f>p_*Xi/AI - q*Yi/AI</f>
        <v>1289.316097782076</v>
      </c>
      <c r="AI42" s="347">
        <f>Xd +r_*Xi/AI + s*Yi/AI</f>
        <v>1289.316097782076</v>
      </c>
      <c r="AK42" s="321">
        <f t="shared" si="20"/>
        <v>7682.3400897054162</v>
      </c>
      <c r="AL42" s="321">
        <f t="shared" si="21"/>
        <v>2396.5938029622303</v>
      </c>
      <c r="AM42" s="351">
        <f t="shared" si="22"/>
        <v>-2891.652078509439</v>
      </c>
      <c r="AN42" s="351">
        <f t="shared" si="23"/>
        <v>1735.3813325660287</v>
      </c>
      <c r="AO42" s="351">
        <f t="shared" si="24"/>
        <v>-14991.737211422804</v>
      </c>
      <c r="AP42" s="351">
        <f t="shared" si="25"/>
        <v>2891.652078509439</v>
      </c>
      <c r="AQ42" s="351">
        <f t="shared" si="26"/>
        <v>1034.6186674339713</v>
      </c>
      <c r="AR42" s="351">
        <f t="shared" si="27"/>
        <v>0</v>
      </c>
      <c r="AS42" s="351"/>
      <c r="AT42" s="351"/>
      <c r="AU42" s="351"/>
      <c r="AV42" s="351"/>
      <c r="AW42" s="351">
        <f t="shared" si="28"/>
        <v>-1450.381332566029</v>
      </c>
      <c r="AX42" s="351"/>
      <c r="AY42" s="351">
        <f t="shared" si="29"/>
        <v>-749.61866743397104</v>
      </c>
      <c r="AZ42" s="321">
        <f t="shared" si="30"/>
        <v>-2891.652078509439</v>
      </c>
      <c r="BA42" s="321">
        <f t="shared" si="31"/>
        <v>-16310.355878856775</v>
      </c>
      <c r="BB42" s="351">
        <f t="shared" si="32"/>
        <v>-2891.652078509439</v>
      </c>
      <c r="BC42" s="351">
        <f t="shared" si="33"/>
        <v>708.76266513205769</v>
      </c>
      <c r="BD42" s="351"/>
      <c r="BE42" s="351"/>
      <c r="BF42" s="351">
        <f t="shared" si="34"/>
        <v>-7682.3400897054162</v>
      </c>
      <c r="BG42" s="352">
        <f t="shared" si="35"/>
        <v>15934.143408460575</v>
      </c>
      <c r="BI42" s="302">
        <f t="shared" si="36"/>
        <v>0.70990893208306227</v>
      </c>
      <c r="BJ42" s="302">
        <f t="shared" si="37"/>
        <v>1.0518912859933334</v>
      </c>
      <c r="BK42" s="302">
        <f t="shared" si="38"/>
        <v>40.67478564699887</v>
      </c>
      <c r="BL42" s="343">
        <f t="shared" si="39"/>
        <v>60.268931194006647</v>
      </c>
      <c r="BV42" s="203"/>
      <c r="BW42" s="203"/>
      <c r="BX42" s="203"/>
      <c r="BY42" s="203"/>
      <c r="CH42" s="202"/>
      <c r="DM42" s="203"/>
    </row>
    <row r="43" spans="1:117" x14ac:dyDescent="0.25">
      <c r="A43" s="238"/>
      <c r="B43" s="323">
        <f t="shared" si="40"/>
        <v>6900</v>
      </c>
      <c r="C43" s="324">
        <f t="shared" si="0"/>
        <v>3701.8021891331755</v>
      </c>
      <c r="D43" s="234">
        <f t="shared" si="1"/>
        <v>18473.321334150613</v>
      </c>
      <c r="E43" s="225"/>
      <c r="F43" s="346">
        <f t="shared" si="2"/>
        <v>2503.9968051097826</v>
      </c>
      <c r="G43" s="318">
        <f t="shared" si="41"/>
        <v>2300</v>
      </c>
      <c r="H43" s="318">
        <f t="shared" si="42"/>
        <v>2503.9968051097826</v>
      </c>
      <c r="I43" s="318">
        <f>0</f>
        <v>0</v>
      </c>
      <c r="J43" s="318">
        <f>0</f>
        <v>0</v>
      </c>
      <c r="K43" s="318">
        <f t="shared" si="3"/>
        <v>2300</v>
      </c>
      <c r="L43" s="318">
        <f t="shared" si="4"/>
        <v>2503.9968051097826</v>
      </c>
      <c r="M43" s="318">
        <f t="shared" si="5"/>
        <v>4600</v>
      </c>
      <c r="N43" s="321">
        <f>0</f>
        <v>0</v>
      </c>
      <c r="O43" s="321">
        <f t="shared" si="6"/>
        <v>4600</v>
      </c>
      <c r="P43" s="321">
        <f t="shared" si="7"/>
        <v>2503.9968051097826</v>
      </c>
      <c r="Q43" s="279">
        <f t="shared" si="8"/>
        <v>6900</v>
      </c>
      <c r="R43" s="279">
        <f>0</f>
        <v>0</v>
      </c>
      <c r="S43" s="321">
        <f t="shared" si="9"/>
        <v>6900</v>
      </c>
      <c r="T43" s="318">
        <f t="shared" si="10"/>
        <v>1251.9984025548913</v>
      </c>
      <c r="U43" s="318">
        <f t="shared" si="11"/>
        <v>1150</v>
      </c>
      <c r="V43" s="320">
        <f t="shared" si="12"/>
        <v>1251.9984025548913</v>
      </c>
      <c r="W43" s="320">
        <f t="shared" si="13"/>
        <v>3450</v>
      </c>
      <c r="X43" s="320">
        <f t="shared" si="14"/>
        <v>1251.9984025548913</v>
      </c>
      <c r="Y43" s="320">
        <f t="shared" si="15"/>
        <v>5750</v>
      </c>
      <c r="Z43" s="318">
        <f t="shared" si="43"/>
        <v>374.23473031349107</v>
      </c>
      <c r="AA43" s="320">
        <f t="shared" si="16"/>
        <v>5079.5293177973463</v>
      </c>
      <c r="AB43" s="318">
        <f t="shared" si="17"/>
        <v>2129.7620747962915</v>
      </c>
      <c r="AC43" s="320">
        <f t="shared" si="18"/>
        <v>1820.4706822026535</v>
      </c>
      <c r="AD43" s="320">
        <f t="shared" si="44"/>
        <v>1251.9984025548913</v>
      </c>
      <c r="AE43" s="320">
        <f t="shared" si="19"/>
        <v>1251.9984025548913</v>
      </c>
      <c r="AF43" s="320">
        <f>p_*Xi/AI - q*Yi/AI</f>
        <v>1251.9984025548913</v>
      </c>
      <c r="AG43" s="320">
        <f>Xd +r_*Xi/AI + s*Yi/AI</f>
        <v>1251.9984025548913</v>
      </c>
      <c r="AH43" s="320">
        <f>p_*Xi/AI - q*Yi/AI</f>
        <v>1251.9984025548913</v>
      </c>
      <c r="AI43" s="347">
        <f>Xd +r_*Xi/AI + s*Yi/AI</f>
        <v>1251.9984025548913</v>
      </c>
      <c r="AK43" s="321">
        <f t="shared" si="20"/>
        <v>7835.0384443816447</v>
      </c>
      <c r="AL43" s="321">
        <f t="shared" si="21"/>
        <v>2948.1176688948217</v>
      </c>
      <c r="AM43" s="351">
        <f t="shared" si="22"/>
        <v>-2705.4052437816563</v>
      </c>
      <c r="AN43" s="351">
        <f t="shared" si="23"/>
        <v>1778.6121293637295</v>
      </c>
      <c r="AO43" s="351">
        <f t="shared" si="24"/>
        <v>-16338.605816768495</v>
      </c>
      <c r="AP43" s="351">
        <f t="shared" si="25"/>
        <v>2705.4052437816563</v>
      </c>
      <c r="AQ43" s="351">
        <f t="shared" si="26"/>
        <v>991.38787063627046</v>
      </c>
      <c r="AR43" s="351">
        <f t="shared" si="27"/>
        <v>0</v>
      </c>
      <c r="AS43" s="351"/>
      <c r="AT43" s="351"/>
      <c r="AU43" s="351"/>
      <c r="AV43" s="351"/>
      <c r="AW43" s="351">
        <f t="shared" si="28"/>
        <v>-1493.6121293637302</v>
      </c>
      <c r="AX43" s="351"/>
      <c r="AY43" s="351">
        <f t="shared" si="29"/>
        <v>-706.38787063626978</v>
      </c>
      <c r="AZ43" s="321">
        <f t="shared" si="30"/>
        <v>-2705.4052437816563</v>
      </c>
      <c r="BA43" s="321">
        <f t="shared" si="31"/>
        <v>-17613.993687404767</v>
      </c>
      <c r="BB43" s="351">
        <f t="shared" si="32"/>
        <v>-2705.4052437816563</v>
      </c>
      <c r="BC43" s="351">
        <f t="shared" si="33"/>
        <v>795.22425872745976</v>
      </c>
      <c r="BD43" s="351"/>
      <c r="BE43" s="351"/>
      <c r="BF43" s="351">
        <f t="shared" si="34"/>
        <v>-7835.0384443816447</v>
      </c>
      <c r="BG43" s="352">
        <f t="shared" si="35"/>
        <v>16729.488147873675</v>
      </c>
      <c r="BI43" s="302">
        <f t="shared" si="36"/>
        <v>0.74295968333189133</v>
      </c>
      <c r="BJ43" s="302">
        <f t="shared" si="37"/>
        <v>1.0767004467704291</v>
      </c>
      <c r="BK43" s="302">
        <f t="shared" si="38"/>
        <v>42.568454203293513</v>
      </c>
      <c r="BL43" s="343">
        <f t="shared" si="39"/>
        <v>61.690391399795736</v>
      </c>
      <c r="BV43" s="203"/>
      <c r="BW43" s="203"/>
      <c r="BX43" s="203"/>
      <c r="BY43" s="203"/>
      <c r="CH43" s="202"/>
      <c r="DM43" s="203"/>
    </row>
    <row r="44" spans="1:117" x14ac:dyDescent="0.25">
      <c r="A44" s="238"/>
      <c r="B44" s="323">
        <f t="shared" si="40"/>
        <v>7152</v>
      </c>
      <c r="C44" s="324">
        <f t="shared" si="0"/>
        <v>3776.7066154342783</v>
      </c>
      <c r="D44" s="234">
        <f t="shared" si="1"/>
        <v>19493.096108898899</v>
      </c>
      <c r="E44" s="225"/>
      <c r="F44" s="346">
        <f t="shared" si="2"/>
        <v>2424.1584106654414</v>
      </c>
      <c r="G44" s="318">
        <f t="shared" si="41"/>
        <v>2384</v>
      </c>
      <c r="H44" s="318">
        <f t="shared" si="42"/>
        <v>2424.1584106654414</v>
      </c>
      <c r="I44" s="318">
        <f>0</f>
        <v>0</v>
      </c>
      <c r="J44" s="318">
        <f>0</f>
        <v>0</v>
      </c>
      <c r="K44" s="318">
        <f t="shared" si="3"/>
        <v>2384</v>
      </c>
      <c r="L44" s="318">
        <f t="shared" si="4"/>
        <v>2424.1584106654414</v>
      </c>
      <c r="M44" s="318">
        <f t="shared" si="5"/>
        <v>4768</v>
      </c>
      <c r="N44" s="321">
        <f>0</f>
        <v>0</v>
      </c>
      <c r="O44" s="321">
        <f t="shared" si="6"/>
        <v>4768</v>
      </c>
      <c r="P44" s="321">
        <f t="shared" si="7"/>
        <v>2424.1584106654414</v>
      </c>
      <c r="Q44" s="279">
        <f t="shared" si="8"/>
        <v>7152</v>
      </c>
      <c r="R44" s="279">
        <f>0</f>
        <v>0</v>
      </c>
      <c r="S44" s="321">
        <f t="shared" si="9"/>
        <v>7152</v>
      </c>
      <c r="T44" s="318">
        <f t="shared" si="10"/>
        <v>1212.0792053327207</v>
      </c>
      <c r="U44" s="318">
        <f t="shared" si="11"/>
        <v>1192</v>
      </c>
      <c r="V44" s="320">
        <f t="shared" si="12"/>
        <v>1212.0792053327207</v>
      </c>
      <c r="W44" s="320">
        <f t="shared" si="13"/>
        <v>3576</v>
      </c>
      <c r="X44" s="320">
        <f t="shared" si="14"/>
        <v>1212.0792053327207</v>
      </c>
      <c r="Y44" s="320">
        <f t="shared" si="15"/>
        <v>5960</v>
      </c>
      <c r="Z44" s="318">
        <f t="shared" si="43"/>
        <v>357.67501364684261</v>
      </c>
      <c r="AA44" s="320">
        <f t="shared" si="16"/>
        <v>5260.0046591372193</v>
      </c>
      <c r="AB44" s="318">
        <f t="shared" si="17"/>
        <v>2066.4833970185987</v>
      </c>
      <c r="AC44" s="320">
        <f t="shared" si="18"/>
        <v>1891.9953408627812</v>
      </c>
      <c r="AD44" s="320">
        <f t="shared" si="44"/>
        <v>1212.0792053327207</v>
      </c>
      <c r="AE44" s="320">
        <f t="shared" si="19"/>
        <v>1212.0792053327207</v>
      </c>
      <c r="AF44" s="320">
        <f>p_*Xi/AI - q*Yi/AI</f>
        <v>1212.0792053327207</v>
      </c>
      <c r="AG44" s="320">
        <f>Xd +r_*Xi/AI + s*Yi/AI</f>
        <v>1212.0792053327207</v>
      </c>
      <c r="AH44" s="320">
        <f>p_*Xi/AI - q*Yi/AI</f>
        <v>1212.0792053327207</v>
      </c>
      <c r="AI44" s="347">
        <f>Xd +r_*Xi/AI + s*Yi/AI</f>
        <v>1212.0792053327207</v>
      </c>
      <c r="AK44" s="321">
        <f t="shared" si="20"/>
        <v>8082.6416818364369</v>
      </c>
      <c r="AL44" s="321">
        <f t="shared" si="21"/>
        <v>3650.9418316789379</v>
      </c>
      <c r="AM44" s="351">
        <f t="shared" si="22"/>
        <v>-2526.859752728029</v>
      </c>
      <c r="AN44" s="351">
        <f t="shared" si="23"/>
        <v>1827.8034667806016</v>
      </c>
      <c r="AO44" s="351">
        <f t="shared" si="24"/>
        <v>-18050.366207981631</v>
      </c>
      <c r="AP44" s="351">
        <f t="shared" si="25"/>
        <v>2526.859752728029</v>
      </c>
      <c r="AQ44" s="351">
        <f t="shared" si="26"/>
        <v>942.19653321939836</v>
      </c>
      <c r="AR44" s="351">
        <f t="shared" si="27"/>
        <v>0</v>
      </c>
      <c r="AS44" s="351"/>
      <c r="AT44" s="351"/>
      <c r="AU44" s="351"/>
      <c r="AV44" s="351"/>
      <c r="AW44" s="351">
        <f t="shared" si="28"/>
        <v>-1542.8034667806032</v>
      </c>
      <c r="AX44" s="351"/>
      <c r="AY44" s="351">
        <f t="shared" si="29"/>
        <v>-657.19653321939677</v>
      </c>
      <c r="AZ44" s="321">
        <f t="shared" si="30"/>
        <v>-2526.859752728029</v>
      </c>
      <c r="BA44" s="321">
        <f t="shared" si="31"/>
        <v>-19276.562741201029</v>
      </c>
      <c r="BB44" s="351">
        <f t="shared" si="32"/>
        <v>-2526.859752728029</v>
      </c>
      <c r="BC44" s="351">
        <f t="shared" si="33"/>
        <v>893.60693356120487</v>
      </c>
      <c r="BD44" s="351"/>
      <c r="BE44" s="351"/>
      <c r="BF44" s="351">
        <f t="shared" si="34"/>
        <v>-8082.6416818364369</v>
      </c>
      <c r="BG44" s="352">
        <f t="shared" si="35"/>
        <v>17738.424376302693</v>
      </c>
      <c r="BI44" s="302">
        <f t="shared" si="36"/>
        <v>0.77704621791617368</v>
      </c>
      <c r="BJ44" s="302">
        <f t="shared" si="37"/>
        <v>1.1012744852306746</v>
      </c>
      <c r="BK44" s="302">
        <f t="shared" si="38"/>
        <v>44.521468773199608</v>
      </c>
      <c r="BL44" s="343">
        <f t="shared" si="39"/>
        <v>63.098380089159967</v>
      </c>
      <c r="BV44" s="203"/>
      <c r="BW44" s="203"/>
      <c r="BX44" s="203"/>
      <c r="BY44" s="203"/>
      <c r="CH44" s="202"/>
      <c r="DM44" s="203"/>
    </row>
    <row r="45" spans="1:117" x14ac:dyDescent="0.25">
      <c r="A45" s="238"/>
      <c r="B45" s="323">
        <f t="shared" si="40"/>
        <v>7404</v>
      </c>
      <c r="C45" s="324">
        <f t="shared" si="0"/>
        <v>3851.8985318528003</v>
      </c>
      <c r="D45" s="234">
        <f t="shared" si="1"/>
        <v>20853.582663486988</v>
      </c>
      <c r="E45" s="225"/>
      <c r="F45" s="346">
        <f t="shared" si="2"/>
        <v>2338.5841870670383</v>
      </c>
      <c r="G45" s="318">
        <f t="shared" si="41"/>
        <v>2468</v>
      </c>
      <c r="H45" s="318">
        <f t="shared" si="42"/>
        <v>2338.5841870670383</v>
      </c>
      <c r="I45" s="318">
        <f>0</f>
        <v>0</v>
      </c>
      <c r="J45" s="318">
        <f>0</f>
        <v>0</v>
      </c>
      <c r="K45" s="318">
        <f t="shared" si="3"/>
        <v>2468</v>
      </c>
      <c r="L45" s="318">
        <f t="shared" si="4"/>
        <v>2338.5841870670383</v>
      </c>
      <c r="M45" s="318">
        <f t="shared" si="5"/>
        <v>4936</v>
      </c>
      <c r="N45" s="321">
        <f>0</f>
        <v>0</v>
      </c>
      <c r="O45" s="321">
        <f t="shared" si="6"/>
        <v>4936</v>
      </c>
      <c r="P45" s="321">
        <f t="shared" si="7"/>
        <v>2338.5841870670383</v>
      </c>
      <c r="Q45" s="279">
        <f t="shared" si="8"/>
        <v>7404</v>
      </c>
      <c r="R45" s="279">
        <f>0</f>
        <v>0</v>
      </c>
      <c r="S45" s="321">
        <f t="shared" si="9"/>
        <v>7404</v>
      </c>
      <c r="T45" s="318">
        <f t="shared" si="10"/>
        <v>1169.2920935335192</v>
      </c>
      <c r="U45" s="318">
        <f t="shared" si="11"/>
        <v>1234</v>
      </c>
      <c r="V45" s="320">
        <f t="shared" si="12"/>
        <v>1169.2920935335192</v>
      </c>
      <c r="W45" s="320">
        <f t="shared" si="13"/>
        <v>3702</v>
      </c>
      <c r="X45" s="320">
        <f t="shared" si="14"/>
        <v>1169.2920935335192</v>
      </c>
      <c r="Y45" s="320">
        <f t="shared" si="15"/>
        <v>6170</v>
      </c>
      <c r="Z45" s="318">
        <f t="shared" si="43"/>
        <v>340.10309183535969</v>
      </c>
      <c r="AA45" s="320">
        <f t="shared" si="16"/>
        <v>5440.3112996196196</v>
      </c>
      <c r="AB45" s="318">
        <f t="shared" si="17"/>
        <v>1998.4810952316786</v>
      </c>
      <c r="AC45" s="320">
        <f t="shared" si="18"/>
        <v>1963.6887003803813</v>
      </c>
      <c r="AD45" s="320">
        <f t="shared" si="44"/>
        <v>1169.2920935335192</v>
      </c>
      <c r="AE45" s="320">
        <f t="shared" si="19"/>
        <v>1169.2920935335192</v>
      </c>
      <c r="AF45" s="320">
        <f>p_*Xi/AI - q*Yi/AI</f>
        <v>1169.2920935335192</v>
      </c>
      <c r="AG45" s="320">
        <f>Xd +r_*Xi/AI + s*Yi/AI</f>
        <v>1169.2920935335192</v>
      </c>
      <c r="AH45" s="320">
        <f>p_*Xi/AI - q*Yi/AI</f>
        <v>1169.2920935335192</v>
      </c>
      <c r="AI45" s="347">
        <f>Xd +r_*Xi/AI + s*Yi/AI</f>
        <v>1169.2920935335192</v>
      </c>
      <c r="AK45" s="321">
        <f t="shared" si="20"/>
        <v>8462.3641429888776</v>
      </c>
      <c r="AL45" s="321">
        <f t="shared" si="21"/>
        <v>4576.4079517485006</v>
      </c>
      <c r="AM45" s="351">
        <f t="shared" si="22"/>
        <v>-2354.6927491335455</v>
      </c>
      <c r="AN45" s="351">
        <f t="shared" si="23"/>
        <v>1884.2582267010728</v>
      </c>
      <c r="AO45" s="351">
        <f t="shared" si="24"/>
        <v>-20296.796793323174</v>
      </c>
      <c r="AP45" s="351">
        <f t="shared" si="25"/>
        <v>2354.6927491335455</v>
      </c>
      <c r="AQ45" s="351">
        <f t="shared" si="26"/>
        <v>885.74177329892723</v>
      </c>
      <c r="AR45" s="351">
        <f t="shared" si="27"/>
        <v>0</v>
      </c>
      <c r="AS45" s="351"/>
      <c r="AT45" s="351"/>
      <c r="AU45" s="351"/>
      <c r="AV45" s="351"/>
      <c r="AW45" s="351">
        <f t="shared" si="28"/>
        <v>-1599.2582267010721</v>
      </c>
      <c r="AX45" s="351"/>
      <c r="AY45" s="351">
        <f t="shared" si="29"/>
        <v>-600.74177329892791</v>
      </c>
      <c r="AZ45" s="321">
        <f t="shared" si="30"/>
        <v>-2354.6927491335455</v>
      </c>
      <c r="BA45" s="321">
        <f t="shared" si="31"/>
        <v>-21466.538566622101</v>
      </c>
      <c r="BB45" s="351">
        <f t="shared" si="32"/>
        <v>-2354.6927491335455</v>
      </c>
      <c r="BC45" s="351">
        <f t="shared" si="33"/>
        <v>1006.5164534021449</v>
      </c>
      <c r="BD45" s="351"/>
      <c r="BE45" s="351"/>
      <c r="BF45" s="351">
        <f t="shared" si="34"/>
        <v>-8462.3641429888776</v>
      </c>
      <c r="BG45" s="352">
        <f t="shared" si="35"/>
        <v>19059.388841574673</v>
      </c>
      <c r="BI45" s="302">
        <f t="shared" si="36"/>
        <v>0.81231635490887921</v>
      </c>
      <c r="BJ45" s="302">
        <f t="shared" si="37"/>
        <v>1.125710634389768</v>
      </c>
      <c r="BK45" s="302">
        <f t="shared" si="38"/>
        <v>46.542298765729868</v>
      </c>
      <c r="BL45" s="343">
        <f t="shared" si="39"/>
        <v>64.498468303528171</v>
      </c>
      <c r="BV45" s="203"/>
      <c r="BW45" s="203"/>
      <c r="BX45" s="203"/>
      <c r="BY45" s="203"/>
      <c r="CH45" s="202"/>
      <c r="DM45" s="203"/>
    </row>
    <row r="46" spans="1:117" x14ac:dyDescent="0.25">
      <c r="A46" s="238"/>
      <c r="B46" s="323">
        <f t="shared" si="40"/>
        <v>7656</v>
      </c>
      <c r="C46" s="324">
        <f t="shared" si="0"/>
        <v>3927.268026897354</v>
      </c>
      <c r="D46" s="234">
        <f t="shared" si="1"/>
        <v>22737.592503094897</v>
      </c>
      <c r="E46" s="225"/>
      <c r="F46" s="346">
        <f t="shared" si="2"/>
        <v>2246.6187927639171</v>
      </c>
      <c r="G46" s="318">
        <f t="shared" si="41"/>
        <v>2552</v>
      </c>
      <c r="H46" s="318">
        <f t="shared" si="42"/>
        <v>2246.6187927639171</v>
      </c>
      <c r="I46" s="318">
        <f>0</f>
        <v>0</v>
      </c>
      <c r="J46" s="318">
        <f>0</f>
        <v>0</v>
      </c>
      <c r="K46" s="318">
        <f t="shared" si="3"/>
        <v>2552</v>
      </c>
      <c r="L46" s="318">
        <f t="shared" si="4"/>
        <v>2246.6187927639171</v>
      </c>
      <c r="M46" s="318">
        <f t="shared" si="5"/>
        <v>5104</v>
      </c>
      <c r="N46" s="321">
        <f>0</f>
        <v>0</v>
      </c>
      <c r="O46" s="321">
        <f t="shared" si="6"/>
        <v>5104</v>
      </c>
      <c r="P46" s="321">
        <f t="shared" si="7"/>
        <v>2246.6187927639171</v>
      </c>
      <c r="Q46" s="279">
        <f t="shared" si="8"/>
        <v>7656</v>
      </c>
      <c r="R46" s="279">
        <f>0</f>
        <v>0</v>
      </c>
      <c r="S46" s="321">
        <f t="shared" si="9"/>
        <v>7656</v>
      </c>
      <c r="T46" s="318">
        <f t="shared" si="10"/>
        <v>1123.3093963819585</v>
      </c>
      <c r="U46" s="318">
        <f t="shared" si="11"/>
        <v>1276</v>
      </c>
      <c r="V46" s="320">
        <f t="shared" si="12"/>
        <v>1123.3093963819585</v>
      </c>
      <c r="W46" s="320">
        <f t="shared" si="13"/>
        <v>3828</v>
      </c>
      <c r="X46" s="320">
        <f t="shared" si="14"/>
        <v>1123.3093963819585</v>
      </c>
      <c r="Y46" s="320">
        <f t="shared" si="15"/>
        <v>6380</v>
      </c>
      <c r="Z46" s="318">
        <f t="shared" si="43"/>
        <v>321.40331637010297</v>
      </c>
      <c r="AA46" s="320">
        <f t="shared" si="16"/>
        <v>5620.4299644930561</v>
      </c>
      <c r="AB46" s="318">
        <f t="shared" si="17"/>
        <v>1925.215476393814</v>
      </c>
      <c r="AC46" s="320">
        <f t="shared" si="18"/>
        <v>2035.5700355069434</v>
      </c>
      <c r="AD46" s="320">
        <f t="shared" si="44"/>
        <v>1123.3093963819585</v>
      </c>
      <c r="AE46" s="320">
        <f t="shared" si="19"/>
        <v>1123.3093963819585</v>
      </c>
      <c r="AF46" s="320">
        <f>p_*Xi/AI - q*Yi/AI</f>
        <v>1123.3093963819585</v>
      </c>
      <c r="AG46" s="320">
        <f>Xd +r_*Xi/AI + s*Yi/AI</f>
        <v>1123.3093963819585</v>
      </c>
      <c r="AH46" s="320">
        <f>p_*Xi/AI - q*Yi/AI</f>
        <v>1123.3093963819585</v>
      </c>
      <c r="AI46" s="347">
        <f>Xd +r_*Xi/AI + s*Yi/AI</f>
        <v>1123.3093963819585</v>
      </c>
      <c r="AK46" s="321">
        <f t="shared" si="20"/>
        <v>9039.8488945757163</v>
      </c>
      <c r="AL46" s="321">
        <f t="shared" si="21"/>
        <v>5848.9048730544746</v>
      </c>
      <c r="AM46" s="351">
        <f t="shared" si="22"/>
        <v>-2187.6362460886889</v>
      </c>
      <c r="AN46" s="351">
        <f t="shared" si="23"/>
        <v>1949.7239006662269</v>
      </c>
      <c r="AO46" s="351">
        <f t="shared" si="24"/>
        <v>-23373.251795349453</v>
      </c>
      <c r="AP46" s="351">
        <f t="shared" si="25"/>
        <v>2187.6362460886889</v>
      </c>
      <c r="AQ46" s="351">
        <f t="shared" si="26"/>
        <v>820.27609933377312</v>
      </c>
      <c r="AR46" s="351">
        <f t="shared" si="27"/>
        <v>0</v>
      </c>
      <c r="AS46" s="351"/>
      <c r="AT46" s="351"/>
      <c r="AU46" s="351"/>
      <c r="AV46" s="351"/>
      <c r="AW46" s="351">
        <f t="shared" si="28"/>
        <v>-1664.723900666228</v>
      </c>
      <c r="AX46" s="351"/>
      <c r="AY46" s="351">
        <f t="shared" si="29"/>
        <v>-535.27609933377198</v>
      </c>
      <c r="AZ46" s="321">
        <f t="shared" si="30"/>
        <v>-2187.6362460886889</v>
      </c>
      <c r="BA46" s="321">
        <f t="shared" si="31"/>
        <v>-24477.527894683226</v>
      </c>
      <c r="BB46" s="351">
        <f t="shared" si="32"/>
        <v>-2187.6362460886889</v>
      </c>
      <c r="BC46" s="351">
        <f t="shared" si="33"/>
        <v>1137.4478013324549</v>
      </c>
      <c r="BD46" s="351"/>
      <c r="BE46" s="351"/>
      <c r="BF46" s="351">
        <f t="shared" si="34"/>
        <v>-9039.8488945757163</v>
      </c>
      <c r="BG46" s="352">
        <f t="shared" si="35"/>
        <v>20863.346922294979</v>
      </c>
      <c r="BI46" s="302">
        <f t="shared" si="36"/>
        <v>0.84895185612426138</v>
      </c>
      <c r="BJ46" s="302">
        <f t="shared" si="37"/>
        <v>1.1501192563625964</v>
      </c>
      <c r="BK46" s="302">
        <f t="shared" si="38"/>
        <v>48.641358365717664</v>
      </c>
      <c r="BL46" s="343">
        <f t="shared" si="39"/>
        <v>65.896979326301519</v>
      </c>
      <c r="BV46" s="203"/>
      <c r="BW46" s="203"/>
      <c r="BX46" s="203"/>
      <c r="BY46" s="203"/>
      <c r="CH46" s="202"/>
      <c r="DM46" s="203"/>
    </row>
    <row r="47" spans="1:117" x14ac:dyDescent="0.25">
      <c r="A47" s="238"/>
      <c r="B47" s="323">
        <f t="shared" si="40"/>
        <v>7908</v>
      </c>
      <c r="C47" s="324">
        <f t="shared" si="0"/>
        <v>4002.6941274963665</v>
      </c>
      <c r="D47" s="234">
        <f t="shared" si="1"/>
        <v>25494.111602053199</v>
      </c>
      <c r="E47" s="225"/>
      <c r="F47" s="346">
        <f t="shared" si="2"/>
        <v>2147.441268114218</v>
      </c>
      <c r="G47" s="318">
        <f t="shared" si="41"/>
        <v>2636</v>
      </c>
      <c r="H47" s="318">
        <f t="shared" si="42"/>
        <v>2147.441268114218</v>
      </c>
      <c r="I47" s="318">
        <f>0</f>
        <v>0</v>
      </c>
      <c r="J47" s="318">
        <f>0</f>
        <v>0</v>
      </c>
      <c r="K47" s="318">
        <f t="shared" si="3"/>
        <v>2636</v>
      </c>
      <c r="L47" s="318">
        <f t="shared" si="4"/>
        <v>2147.441268114218</v>
      </c>
      <c r="M47" s="318">
        <f t="shared" si="5"/>
        <v>5272</v>
      </c>
      <c r="N47" s="321">
        <f>0</f>
        <v>0</v>
      </c>
      <c r="O47" s="321">
        <f t="shared" si="6"/>
        <v>5272</v>
      </c>
      <c r="P47" s="321">
        <f t="shared" si="7"/>
        <v>2147.441268114218</v>
      </c>
      <c r="Q47" s="279">
        <f t="shared" si="8"/>
        <v>7908</v>
      </c>
      <c r="R47" s="279">
        <f>0</f>
        <v>0</v>
      </c>
      <c r="S47" s="321">
        <f t="shared" si="9"/>
        <v>7908</v>
      </c>
      <c r="T47" s="318">
        <f t="shared" si="10"/>
        <v>1073.720634057109</v>
      </c>
      <c r="U47" s="318">
        <f t="shared" si="11"/>
        <v>1318</v>
      </c>
      <c r="V47" s="320">
        <f t="shared" si="12"/>
        <v>1073.720634057109</v>
      </c>
      <c r="W47" s="320">
        <f t="shared" si="13"/>
        <v>3954</v>
      </c>
      <c r="X47" s="320">
        <f t="shared" si="14"/>
        <v>1073.720634057109</v>
      </c>
      <c r="Y47" s="320">
        <f t="shared" si="15"/>
        <v>6590</v>
      </c>
      <c r="Z47" s="318">
        <f t="shared" si="43"/>
        <v>301.43081202015605</v>
      </c>
      <c r="AA47" s="320">
        <f t="shared" si="16"/>
        <v>5800.3365078857123</v>
      </c>
      <c r="AB47" s="318">
        <f t="shared" si="17"/>
        <v>1846.010456094062</v>
      </c>
      <c r="AC47" s="320">
        <f t="shared" si="18"/>
        <v>2107.6634921142877</v>
      </c>
      <c r="AD47" s="320">
        <f t="shared" si="44"/>
        <v>1073.720634057109</v>
      </c>
      <c r="AE47" s="320">
        <f t="shared" si="19"/>
        <v>1073.720634057109</v>
      </c>
      <c r="AF47" s="320">
        <f>p_*Xi/AI - q*Yi/AI</f>
        <v>1073.720634057109</v>
      </c>
      <c r="AG47" s="320">
        <f>Xd +r_*Xi/AI + s*Yi/AI</f>
        <v>1073.720634057109</v>
      </c>
      <c r="AH47" s="320">
        <f>p_*Xi/AI - q*Yi/AI</f>
        <v>1073.720634057109</v>
      </c>
      <c r="AI47" s="347">
        <f>Xd +r_*Xi/AI + s*Yi/AI</f>
        <v>1073.720634057109</v>
      </c>
      <c r="AK47" s="321">
        <f t="shared" si="20"/>
        <v>9941.1954909647084</v>
      </c>
      <c r="AL47" s="321">
        <f t="shared" si="21"/>
        <v>7706.2832247145234</v>
      </c>
      <c r="AM47" s="351">
        <f t="shared" si="22"/>
        <v>-2024.4277508588134</v>
      </c>
      <c r="AN47" s="351">
        <f t="shared" si="23"/>
        <v>2026.6075845856742</v>
      </c>
      <c r="AO47" s="351">
        <f t="shared" si="24"/>
        <v>-27843.2785942056</v>
      </c>
      <c r="AP47" s="351">
        <f t="shared" si="25"/>
        <v>2024.4277508588134</v>
      </c>
      <c r="AQ47" s="351">
        <f t="shared" si="26"/>
        <v>743.3924154143258</v>
      </c>
      <c r="AR47" s="351">
        <f t="shared" si="27"/>
        <v>0</v>
      </c>
      <c r="AS47" s="351"/>
      <c r="AT47" s="351"/>
      <c r="AU47" s="351"/>
      <c r="AV47" s="351"/>
      <c r="AW47" s="351">
        <f t="shared" si="28"/>
        <v>-1741.607584585674</v>
      </c>
      <c r="AX47" s="351"/>
      <c r="AY47" s="351">
        <f t="shared" si="29"/>
        <v>-458.39241541432602</v>
      </c>
      <c r="AZ47" s="321">
        <f t="shared" si="30"/>
        <v>-2024.4277508588134</v>
      </c>
      <c r="BA47" s="321">
        <f t="shared" si="31"/>
        <v>-28870.671009619924</v>
      </c>
      <c r="BB47" s="351">
        <f t="shared" si="32"/>
        <v>-2024.4277508588134</v>
      </c>
      <c r="BC47" s="351">
        <f t="shared" si="33"/>
        <v>1291.2151691713482</v>
      </c>
      <c r="BD47" s="351"/>
      <c r="BE47" s="351"/>
      <c r="BF47" s="351">
        <f t="shared" si="34"/>
        <v>-9941.1954909647084</v>
      </c>
      <c r="BG47" s="352">
        <f t="shared" si="35"/>
        <v>23475.995369491076</v>
      </c>
      <c r="BI47" s="302">
        <f t="shared" si="36"/>
        <v>0.88718063247769097</v>
      </c>
      <c r="BJ47" s="302">
        <f t="shared" si="37"/>
        <v>1.1746293900476332</v>
      </c>
      <c r="BK47" s="302">
        <f t="shared" si="38"/>
        <v>50.831705906718703</v>
      </c>
      <c r="BL47" s="343">
        <f t="shared" si="39"/>
        <v>67.301306541755565</v>
      </c>
      <c r="BV47" s="203"/>
      <c r="BW47" s="203"/>
      <c r="BX47" s="203"/>
      <c r="BY47" s="203"/>
      <c r="CH47" s="202"/>
      <c r="DM47" s="203"/>
    </row>
    <row r="48" spans="1:117" x14ac:dyDescent="0.25">
      <c r="A48" s="238"/>
      <c r="B48" s="323">
        <f t="shared" si="40"/>
        <v>8160</v>
      </c>
      <c r="C48" s="324">
        <f t="shared" si="0"/>
        <v>4078.0387442985384</v>
      </c>
      <c r="D48" s="234">
        <f t="shared" si="1"/>
        <v>29881.973865030493</v>
      </c>
      <c r="E48" s="225"/>
      <c r="F48" s="346">
        <f t="shared" si="2"/>
        <v>2040</v>
      </c>
      <c r="G48" s="318">
        <f t="shared" si="41"/>
        <v>2720</v>
      </c>
      <c r="H48" s="318">
        <f t="shared" si="42"/>
        <v>2040</v>
      </c>
      <c r="I48" s="318">
        <f>0</f>
        <v>0</v>
      </c>
      <c r="J48" s="318">
        <f>0</f>
        <v>0</v>
      </c>
      <c r="K48" s="318">
        <f t="shared" si="3"/>
        <v>2720</v>
      </c>
      <c r="L48" s="318">
        <f t="shared" si="4"/>
        <v>2040</v>
      </c>
      <c r="M48" s="318">
        <f t="shared" si="5"/>
        <v>5440</v>
      </c>
      <c r="N48" s="321">
        <f>0</f>
        <v>0</v>
      </c>
      <c r="O48" s="321">
        <f t="shared" si="6"/>
        <v>5440</v>
      </c>
      <c r="P48" s="321">
        <f t="shared" si="7"/>
        <v>2040</v>
      </c>
      <c r="Q48" s="279">
        <f t="shared" si="8"/>
        <v>8160</v>
      </c>
      <c r="R48" s="279">
        <f>0</f>
        <v>0</v>
      </c>
      <c r="S48" s="321">
        <f t="shared" si="9"/>
        <v>8160</v>
      </c>
      <c r="T48" s="318">
        <f t="shared" si="10"/>
        <v>1020</v>
      </c>
      <c r="U48" s="318">
        <f t="shared" si="11"/>
        <v>1360</v>
      </c>
      <c r="V48" s="320">
        <f t="shared" si="12"/>
        <v>1020</v>
      </c>
      <c r="W48" s="320">
        <f t="shared" si="13"/>
        <v>4080</v>
      </c>
      <c r="X48" s="320">
        <f t="shared" si="14"/>
        <v>1020</v>
      </c>
      <c r="Y48" s="320">
        <f t="shared" si="15"/>
        <v>6800</v>
      </c>
      <c r="Z48" s="318">
        <f t="shared" si="43"/>
        <v>280</v>
      </c>
      <c r="AA48" s="320">
        <f t="shared" si="16"/>
        <v>5980</v>
      </c>
      <c r="AB48" s="318">
        <f t="shared" si="17"/>
        <v>1760</v>
      </c>
      <c r="AC48" s="320">
        <f t="shared" si="18"/>
        <v>2180</v>
      </c>
      <c r="AD48" s="320">
        <f t="shared" si="44"/>
        <v>1020</v>
      </c>
      <c r="AE48" s="320">
        <f t="shared" si="19"/>
        <v>1020</v>
      </c>
      <c r="AF48" s="320">
        <f>p_*Xi/AI - q*Yi/AI</f>
        <v>1020</v>
      </c>
      <c r="AG48" s="320">
        <f>Xd +r_*Xi/AI + s*Yi/AI</f>
        <v>1020</v>
      </c>
      <c r="AH48" s="320">
        <f>p_*Xi/AI - q*Yi/AI</f>
        <v>1020</v>
      </c>
      <c r="AI48" s="347">
        <f>Xd +r_*Xi/AI + s*Yi/AI</f>
        <v>1020</v>
      </c>
      <c r="AK48" s="321">
        <f t="shared" si="20"/>
        <v>11441.4650788542</v>
      </c>
      <c r="AL48" s="321">
        <f t="shared" si="21"/>
        <v>10666.953438472276</v>
      </c>
      <c r="AM48" s="351">
        <f t="shared" si="22"/>
        <v>-1863.75</v>
      </c>
      <c r="AN48" s="351">
        <f t="shared" si="23"/>
        <v>2118.3333333333335</v>
      </c>
      <c r="AO48" s="351">
        <f t="shared" si="24"/>
        <v>-34932.758073168123</v>
      </c>
      <c r="AP48" s="351">
        <f t="shared" si="25"/>
        <v>1863.75</v>
      </c>
      <c r="AQ48" s="351">
        <f t="shared" si="26"/>
        <v>651.66666666666652</v>
      </c>
      <c r="AR48" s="351">
        <f t="shared" si="27"/>
        <v>0</v>
      </c>
      <c r="AS48" s="351"/>
      <c r="AT48" s="351"/>
      <c r="AU48" s="351"/>
      <c r="AV48" s="351"/>
      <c r="AW48" s="351">
        <f t="shared" si="28"/>
        <v>-1833.3333333333333</v>
      </c>
      <c r="AX48" s="351"/>
      <c r="AY48" s="351">
        <f t="shared" si="29"/>
        <v>-366.66666666666674</v>
      </c>
      <c r="AZ48" s="321">
        <f t="shared" si="30"/>
        <v>-1863.75</v>
      </c>
      <c r="BA48" s="321">
        <f t="shared" si="31"/>
        <v>-35868.424739834787</v>
      </c>
      <c r="BB48" s="351">
        <f t="shared" si="32"/>
        <v>-1863.75</v>
      </c>
      <c r="BC48" s="351">
        <f t="shared" si="33"/>
        <v>1474.6666666666667</v>
      </c>
      <c r="BD48" s="351"/>
      <c r="BE48" s="351"/>
      <c r="BF48" s="351">
        <f t="shared" si="34"/>
        <v>-11441.4650788542</v>
      </c>
      <c r="BG48" s="352">
        <f t="shared" si="35"/>
        <v>27604.804634695847</v>
      </c>
      <c r="BI48" s="302">
        <f t="shared" si="36"/>
        <v>0.9272952180016123</v>
      </c>
      <c r="BJ48" s="302">
        <f t="shared" si="37"/>
        <v>1.1993971660096481</v>
      </c>
      <c r="BK48" s="302">
        <f t="shared" si="38"/>
        <v>53.130102354155987</v>
      </c>
      <c r="BL48" s="343">
        <f t="shared" si="39"/>
        <v>68.720395572304596</v>
      </c>
      <c r="BV48" s="203"/>
      <c r="BW48" s="203"/>
      <c r="BX48" s="203"/>
      <c r="BY48" s="203"/>
      <c r="CH48" s="202"/>
      <c r="DM48" s="203"/>
    </row>
    <row r="49" spans="1:117" x14ac:dyDescent="0.25">
      <c r="A49" s="238"/>
      <c r="B49" s="323">
        <f t="shared" si="40"/>
        <v>8412</v>
      </c>
      <c r="C49" s="324">
        <f t="shared" si="0"/>
        <v>4153.1373389926057</v>
      </c>
      <c r="D49" s="234">
        <f t="shared" si="1"/>
        <v>37921.798464656902</v>
      </c>
      <c r="E49" s="225"/>
      <c r="F49" s="346">
        <f t="shared" si="2"/>
        <v>1922.9102943195246</v>
      </c>
      <c r="G49" s="318">
        <f t="shared" si="41"/>
        <v>2804</v>
      </c>
      <c r="H49" s="318">
        <f t="shared" si="42"/>
        <v>1922.9102943195246</v>
      </c>
      <c r="I49" s="318">
        <f>0</f>
        <v>0</v>
      </c>
      <c r="J49" s="318">
        <f>0</f>
        <v>0</v>
      </c>
      <c r="K49" s="318">
        <f t="shared" si="3"/>
        <v>2804</v>
      </c>
      <c r="L49" s="318">
        <f t="shared" si="4"/>
        <v>1922.9102943195246</v>
      </c>
      <c r="M49" s="318">
        <f t="shared" si="5"/>
        <v>5608</v>
      </c>
      <c r="N49" s="321">
        <f>0</f>
        <v>0</v>
      </c>
      <c r="O49" s="321">
        <f t="shared" si="6"/>
        <v>5608</v>
      </c>
      <c r="P49" s="321">
        <f t="shared" si="7"/>
        <v>1922.9102943195246</v>
      </c>
      <c r="Q49" s="279">
        <f t="shared" si="8"/>
        <v>8412</v>
      </c>
      <c r="R49" s="279">
        <f>0</f>
        <v>0</v>
      </c>
      <c r="S49" s="321">
        <f t="shared" si="9"/>
        <v>8412</v>
      </c>
      <c r="T49" s="318">
        <f t="shared" si="10"/>
        <v>961.4551471597623</v>
      </c>
      <c r="U49" s="318">
        <f t="shared" si="11"/>
        <v>1402</v>
      </c>
      <c r="V49" s="320">
        <f t="shared" si="12"/>
        <v>961.4551471597623</v>
      </c>
      <c r="W49" s="320">
        <f t="shared" si="13"/>
        <v>4206</v>
      </c>
      <c r="X49" s="320">
        <f t="shared" si="14"/>
        <v>961.4551471597623</v>
      </c>
      <c r="Y49" s="320">
        <f t="shared" si="15"/>
        <v>7010</v>
      </c>
      <c r="Z49" s="318">
        <f t="shared" si="43"/>
        <v>256.8665225269749</v>
      </c>
      <c r="AA49" s="320">
        <f t="shared" si="16"/>
        <v>6159.3797145388098</v>
      </c>
      <c r="AB49" s="318">
        <f t="shared" si="17"/>
        <v>1666.0437717925497</v>
      </c>
      <c r="AC49" s="320">
        <f t="shared" si="18"/>
        <v>2252.6202854611902</v>
      </c>
      <c r="AD49" s="320">
        <f t="shared" si="44"/>
        <v>961.4551471597623</v>
      </c>
      <c r="AE49" s="320">
        <f t="shared" si="19"/>
        <v>961.4551471597623</v>
      </c>
      <c r="AF49" s="320">
        <f>p_*Xi/AI - q*Yi/AI</f>
        <v>961.4551471597623</v>
      </c>
      <c r="AG49" s="320">
        <f>Xd +r_*Xi/AI + s*Yi/AI</f>
        <v>961.4551471597623</v>
      </c>
      <c r="AH49" s="320">
        <f>p_*Xi/AI - q*Yi/AI</f>
        <v>961.4551471597623</v>
      </c>
      <c r="AI49" s="347">
        <f>Xd +r_*Xi/AI + s*Yi/AI</f>
        <v>961.4551471597623</v>
      </c>
      <c r="AK49" s="321">
        <f t="shared" si="20"/>
        <v>14274.149373527038</v>
      </c>
      <c r="AL49" s="321">
        <f t="shared" si="21"/>
        <v>16114.686719426623</v>
      </c>
      <c r="AM49" s="351">
        <f t="shared" si="22"/>
        <v>-1704.1483885107057</v>
      </c>
      <c r="AN49" s="351">
        <f t="shared" si="23"/>
        <v>2229.9685255980717</v>
      </c>
      <c r="AO49" s="351">
        <f t="shared" si="24"/>
        <v>-47908.45573150838</v>
      </c>
      <c r="AP49" s="351">
        <f t="shared" si="25"/>
        <v>1704.1483885107057</v>
      </c>
      <c r="AQ49" s="351">
        <f t="shared" si="26"/>
        <v>540.03147440192834</v>
      </c>
      <c r="AR49" s="351">
        <f t="shared" si="27"/>
        <v>0</v>
      </c>
      <c r="AS49" s="351"/>
      <c r="AT49" s="351"/>
      <c r="AU49" s="351"/>
      <c r="AV49" s="351"/>
      <c r="AW49" s="351">
        <f t="shared" si="28"/>
        <v>-1944.9685255980717</v>
      </c>
      <c r="AX49" s="351"/>
      <c r="AY49" s="351">
        <f t="shared" si="29"/>
        <v>-255.03147440192834</v>
      </c>
      <c r="AZ49" s="321">
        <f t="shared" si="30"/>
        <v>-1704.1483885107057</v>
      </c>
      <c r="BA49" s="321">
        <f t="shared" si="31"/>
        <v>-48732.487205910307</v>
      </c>
      <c r="BB49" s="351">
        <f t="shared" si="32"/>
        <v>-1704.1483885107057</v>
      </c>
      <c r="BC49" s="351">
        <f t="shared" si="33"/>
        <v>1697.9370511961433</v>
      </c>
      <c r="BD49" s="351"/>
      <c r="BE49" s="351"/>
      <c r="BF49" s="351">
        <f t="shared" si="34"/>
        <v>-14274.149373527038</v>
      </c>
      <c r="BG49" s="352">
        <f t="shared" si="35"/>
        <v>35132.769012081757</v>
      </c>
      <c r="BI49" s="302">
        <f t="shared" si="36"/>
        <v>0.96968195751170405</v>
      </c>
      <c r="BJ49" s="302">
        <f t="shared" si="37"/>
        <v>1.2246191297351763</v>
      </c>
      <c r="BK49" s="302">
        <f t="shared" si="38"/>
        <v>55.558683635404655</v>
      </c>
      <c r="BL49" s="343">
        <f t="shared" si="39"/>
        <v>70.165507644809423</v>
      </c>
      <c r="BV49" s="203"/>
      <c r="BW49" s="203"/>
      <c r="BX49" s="203"/>
      <c r="BY49" s="203"/>
      <c r="CH49" s="202"/>
      <c r="DM49" s="203"/>
    </row>
    <row r="50" spans="1:117" x14ac:dyDescent="0.25">
      <c r="A50" s="238"/>
      <c r="B50" s="323">
        <f t="shared" si="40"/>
        <v>8664</v>
      </c>
      <c r="C50" s="324">
        <f t="shared" si="0"/>
        <v>4227.7836479317421</v>
      </c>
      <c r="D50" s="234">
        <f t="shared" si="1"/>
        <v>57391.304992089266</v>
      </c>
      <c r="E50" s="225"/>
      <c r="F50" s="346">
        <f t="shared" si="2"/>
        <v>1794.2842584161517</v>
      </c>
      <c r="G50" s="318">
        <f t="shared" si="41"/>
        <v>2888</v>
      </c>
      <c r="H50" s="318">
        <f t="shared" si="42"/>
        <v>1794.2842584161517</v>
      </c>
      <c r="I50" s="318">
        <f>0</f>
        <v>0</v>
      </c>
      <c r="J50" s="318">
        <f>0</f>
        <v>0</v>
      </c>
      <c r="K50" s="318">
        <f t="shared" si="3"/>
        <v>2888</v>
      </c>
      <c r="L50" s="318">
        <f t="shared" si="4"/>
        <v>1794.2842584161517</v>
      </c>
      <c r="M50" s="318">
        <f t="shared" si="5"/>
        <v>5776</v>
      </c>
      <c r="N50" s="321">
        <f>0</f>
        <v>0</v>
      </c>
      <c r="O50" s="321">
        <f t="shared" si="6"/>
        <v>5776</v>
      </c>
      <c r="P50" s="321">
        <f t="shared" si="7"/>
        <v>1794.2842584161517</v>
      </c>
      <c r="Q50" s="279">
        <f t="shared" si="8"/>
        <v>8664</v>
      </c>
      <c r="R50" s="279">
        <f>0</f>
        <v>0</v>
      </c>
      <c r="S50" s="321">
        <f t="shared" si="9"/>
        <v>8664</v>
      </c>
      <c r="T50" s="318">
        <f t="shared" si="10"/>
        <v>897.14212920807586</v>
      </c>
      <c r="U50" s="318">
        <f t="shared" si="11"/>
        <v>1444</v>
      </c>
      <c r="V50" s="320">
        <f t="shared" si="12"/>
        <v>897.14212920807586</v>
      </c>
      <c r="W50" s="320">
        <f t="shared" si="13"/>
        <v>4332</v>
      </c>
      <c r="X50" s="320">
        <f t="shared" si="14"/>
        <v>897.14212920807586</v>
      </c>
      <c r="Y50" s="320">
        <f t="shared" si="15"/>
        <v>7220</v>
      </c>
      <c r="Z50" s="318">
        <f t="shared" si="43"/>
        <v>231.69722207343858</v>
      </c>
      <c r="AA50" s="320">
        <f t="shared" si="16"/>
        <v>6338.4201252475341</v>
      </c>
      <c r="AB50" s="318">
        <f t="shared" si="17"/>
        <v>1562.5870363427132</v>
      </c>
      <c r="AC50" s="320">
        <f t="shared" si="18"/>
        <v>2325.5798747524659</v>
      </c>
      <c r="AD50" s="320">
        <f t="shared" si="44"/>
        <v>897.14212920807586</v>
      </c>
      <c r="AE50" s="320">
        <f t="shared" si="19"/>
        <v>897.14212920807586</v>
      </c>
      <c r="AF50" s="320">
        <f>p_*Xi/AI - q*Yi/AI</f>
        <v>897.14212920807586</v>
      </c>
      <c r="AG50" s="320">
        <f>Xd +r_*Xi/AI + s*Yi/AI</f>
        <v>897.14212920807586</v>
      </c>
      <c r="AH50" s="320">
        <f>p_*Xi/AI - q*Yi/AI</f>
        <v>897.14212920807586</v>
      </c>
      <c r="AI50" s="347">
        <f>Xd +r_*Xi/AI + s*Yi/AI</f>
        <v>897.14212920807586</v>
      </c>
      <c r="AK50" s="321">
        <f t="shared" si="20"/>
        <v>21264.157901988467</v>
      </c>
      <c r="AL50" s="321">
        <f t="shared" si="21"/>
        <v>29386.44456232927</v>
      </c>
      <c r="AM50" s="351">
        <f t="shared" si="22"/>
        <v>-1543.9045644612663</v>
      </c>
      <c r="AN50" s="351">
        <f t="shared" si="23"/>
        <v>2369.3965957218879</v>
      </c>
      <c r="AO50" s="351">
        <f t="shared" si="24"/>
        <v>-79354.080897914275</v>
      </c>
      <c r="AP50" s="351">
        <f t="shared" si="25"/>
        <v>1543.9045644612663</v>
      </c>
      <c r="AQ50" s="351">
        <f t="shared" si="26"/>
        <v>400.60340427811207</v>
      </c>
      <c r="AR50" s="351">
        <f t="shared" si="27"/>
        <v>0</v>
      </c>
      <c r="AS50" s="351"/>
      <c r="AT50" s="351"/>
      <c r="AU50" s="351"/>
      <c r="AV50" s="351"/>
      <c r="AW50" s="351">
        <f t="shared" si="28"/>
        <v>-2084.3965957218884</v>
      </c>
      <c r="AX50" s="351"/>
      <c r="AY50" s="351">
        <f t="shared" si="29"/>
        <v>-115.60340427811161</v>
      </c>
      <c r="AZ50" s="321">
        <f t="shared" si="30"/>
        <v>-1543.9045644612663</v>
      </c>
      <c r="BA50" s="321">
        <f t="shared" si="31"/>
        <v>-80038.684302192385</v>
      </c>
      <c r="BB50" s="351">
        <f t="shared" si="32"/>
        <v>-1543.9045644612663</v>
      </c>
      <c r="BC50" s="351">
        <f t="shared" si="33"/>
        <v>1976.7931914437763</v>
      </c>
      <c r="BD50" s="351"/>
      <c r="BE50" s="351"/>
      <c r="BF50" s="351">
        <f t="shared" si="34"/>
        <v>-21264.157901988467</v>
      </c>
      <c r="BG50" s="352">
        <f t="shared" si="35"/>
        <v>53306.636335585004</v>
      </c>
      <c r="BI50" s="302">
        <f t="shared" si="36"/>
        <v>1.0148696413063885</v>
      </c>
      <c r="BJ50" s="302">
        <f t="shared" si="37"/>
        <v>1.250554499524509</v>
      </c>
      <c r="BK50" s="302">
        <f t="shared" si="38"/>
        <v>58.147747202811779</v>
      </c>
      <c r="BL50" s="343">
        <f t="shared" si="39"/>
        <v>71.651494873849288</v>
      </c>
      <c r="BV50" s="203"/>
      <c r="BW50" s="203"/>
      <c r="BX50" s="203"/>
      <c r="BY50" s="203"/>
      <c r="CH50" s="202"/>
      <c r="DM50" s="203"/>
    </row>
    <row r="51" spans="1:117" ht="12.75" customHeight="1" thickBot="1" x14ac:dyDescent="0.3">
      <c r="A51" s="238"/>
      <c r="B51" s="323">
        <f>Ph</f>
        <v>8900</v>
      </c>
      <c r="C51" s="324">
        <f t="shared" si="0"/>
        <v>4297.037866840993</v>
      </c>
      <c r="D51" s="234">
        <f t="shared" si="1"/>
        <v>151163.87215557575</v>
      </c>
      <c r="E51" s="225"/>
      <c r="F51" s="337">
        <f t="shared" si="2"/>
        <v>1660.9903337734656</v>
      </c>
      <c r="G51" s="313">
        <f t="shared" si="41"/>
        <v>2966.6666666666665</v>
      </c>
      <c r="H51" s="313">
        <f t="shared" si="42"/>
        <v>1660.9903337734656</v>
      </c>
      <c r="I51" s="313">
        <f>0</f>
        <v>0</v>
      </c>
      <c r="J51" s="313">
        <f>0</f>
        <v>0</v>
      </c>
      <c r="K51" s="313">
        <f t="shared" si="3"/>
        <v>2966.6666666666665</v>
      </c>
      <c r="L51" s="313">
        <f t="shared" si="4"/>
        <v>1660.9903337734656</v>
      </c>
      <c r="M51" s="313">
        <f t="shared" si="5"/>
        <v>5933.333333333333</v>
      </c>
      <c r="N51" s="313">
        <f>0</f>
        <v>0</v>
      </c>
      <c r="O51" s="313">
        <f t="shared" si="6"/>
        <v>5933.333333333333</v>
      </c>
      <c r="P51" s="313">
        <f t="shared" si="7"/>
        <v>1660.9903337734656</v>
      </c>
      <c r="Q51" s="322">
        <f t="shared" si="8"/>
        <v>8900</v>
      </c>
      <c r="R51" s="322">
        <f>0</f>
        <v>0</v>
      </c>
      <c r="S51" s="313">
        <f t="shared" si="9"/>
        <v>8900</v>
      </c>
      <c r="T51" s="313">
        <f t="shared" si="10"/>
        <v>830.49516688673282</v>
      </c>
      <c r="U51" s="313">
        <f t="shared" si="11"/>
        <v>1483.3333333333333</v>
      </c>
      <c r="V51" s="313">
        <f t="shared" si="12"/>
        <v>830.49516688673282</v>
      </c>
      <c r="W51" s="313">
        <f t="shared" si="13"/>
        <v>4450</v>
      </c>
      <c r="X51" s="313">
        <f t="shared" si="14"/>
        <v>830.49516688673282</v>
      </c>
      <c r="Y51" s="313">
        <f t="shared" si="15"/>
        <v>7416.666666666667</v>
      </c>
      <c r="Z51" s="313">
        <f t="shared" si="43"/>
        <v>205.86103929335667</v>
      </c>
      <c r="AA51" s="313">
        <f t="shared" si="16"/>
        <v>6505.7154019737281</v>
      </c>
      <c r="AB51" s="313">
        <f t="shared" si="17"/>
        <v>1455.1292944801089</v>
      </c>
      <c r="AC51" s="313">
        <f t="shared" si="18"/>
        <v>2394.2845980262705</v>
      </c>
      <c r="AD51" s="313">
        <f t="shared" si="44"/>
        <v>830.49516688673282</v>
      </c>
      <c r="AE51" s="313">
        <f t="shared" si="19"/>
        <v>830.49516688673282</v>
      </c>
      <c r="AF51" s="313">
        <f>p_*Xi/AI - q*Yi/AI</f>
        <v>830.49516688673282</v>
      </c>
      <c r="AG51" s="313">
        <f>Xd +r_*Xi/AI + s*Yi/AI</f>
        <v>830.49516688673282</v>
      </c>
      <c r="AH51" s="313">
        <f>p_*Xi/AI - q*Yi/AI</f>
        <v>830.49516688673282</v>
      </c>
      <c r="AI51" s="348">
        <f>Xd +r_*Xi/AI + s*Yi/AI</f>
        <v>830.49516688673282</v>
      </c>
      <c r="AK51" s="313">
        <f t="shared" si="20"/>
        <v>55255.648884671493</v>
      </c>
      <c r="AL51" s="313">
        <f t="shared" si="21"/>
        <v>93684.508667868562</v>
      </c>
      <c r="AM51" s="308">
        <f t="shared" si="22"/>
        <v>-1391.3126896945155</v>
      </c>
      <c r="AN51" s="308">
        <f t="shared" si="23"/>
        <v>2536.6687327754676</v>
      </c>
      <c r="AO51" s="308">
        <f t="shared" si="24"/>
        <v>-231048.49197455312</v>
      </c>
      <c r="AP51" s="308">
        <f t="shared" si="25"/>
        <v>1391.3126896945155</v>
      </c>
      <c r="AQ51" s="308">
        <f t="shared" si="26"/>
        <v>233.33126722453244</v>
      </c>
      <c r="AR51" s="308">
        <f t="shared" si="27"/>
        <v>0</v>
      </c>
      <c r="AS51" s="308"/>
      <c r="AT51" s="308"/>
      <c r="AU51" s="308"/>
      <c r="AV51" s="308"/>
      <c r="AW51" s="308">
        <f t="shared" si="28"/>
        <v>-2251.6687327754676</v>
      </c>
      <c r="AX51" s="308"/>
      <c r="AY51" s="308">
        <f t="shared" si="29"/>
        <v>51.668732775467561</v>
      </c>
      <c r="AZ51" s="313">
        <f t="shared" si="30"/>
        <v>-1391.3126896945155</v>
      </c>
      <c r="BA51" s="313">
        <f t="shared" si="31"/>
        <v>-231565.82324177766</v>
      </c>
      <c r="BB51" s="308">
        <f t="shared" si="32"/>
        <v>-1391.3126896945155</v>
      </c>
      <c r="BC51" s="308">
        <f t="shared" si="33"/>
        <v>2311.3374655509351</v>
      </c>
      <c r="BD51" s="308"/>
      <c r="BE51" s="308"/>
      <c r="BF51" s="308">
        <f t="shared" si="34"/>
        <v>-55255.648884671493</v>
      </c>
      <c r="BG51" s="353">
        <f t="shared" si="35"/>
        <v>140702.98330668456</v>
      </c>
      <c r="BI51" s="303">
        <f t="shared" si="36"/>
        <v>1.0603960252251323</v>
      </c>
      <c r="BJ51" s="303">
        <f t="shared" si="37"/>
        <v>1.2758089477767856</v>
      </c>
      <c r="BK51" s="303">
        <f t="shared" si="38"/>
        <v>60.756216857848059</v>
      </c>
      <c r="BL51" s="303">
        <f t="shared" si="39"/>
        <v>73.09846817263626</v>
      </c>
      <c r="BP51" s="212"/>
      <c r="BV51" s="203"/>
      <c r="BW51" s="203"/>
      <c r="BX51" s="203"/>
      <c r="BY51" s="203"/>
      <c r="CH51" s="202"/>
      <c r="DM51" s="203"/>
    </row>
    <row r="52" spans="1:117" ht="12.75" customHeight="1" x14ac:dyDescent="0.25">
      <c r="A52" s="238"/>
      <c r="B52" s="239"/>
      <c r="C52" s="240"/>
      <c r="D52" s="240"/>
      <c r="S52" s="225"/>
      <c r="T52" s="241"/>
      <c r="U52" s="241"/>
      <c r="V52" s="241"/>
      <c r="W52" s="241"/>
      <c r="X52" s="241"/>
      <c r="Y52" s="241"/>
      <c r="Z52" s="225"/>
      <c r="AA52" s="235"/>
      <c r="AB52" s="235"/>
      <c r="AC52" s="235"/>
      <c r="AJ52" s="235"/>
      <c r="AK52" s="235"/>
      <c r="AL52" s="235"/>
      <c r="AM52" s="235"/>
      <c r="AN52" s="235"/>
      <c r="AO52" s="235"/>
      <c r="BH52" s="242"/>
      <c r="BI52" s="242"/>
      <c r="BJ52" s="242"/>
      <c r="BK52" s="241"/>
      <c r="BL52" s="221"/>
      <c r="BM52" s="221"/>
      <c r="BN52" s="221"/>
      <c r="BO52" s="221"/>
      <c r="BP52" s="221"/>
      <c r="BQ52" s="221"/>
      <c r="BR52" s="221"/>
      <c r="BS52" s="221"/>
      <c r="DL52" s="203"/>
      <c r="DM52" s="203"/>
    </row>
    <row r="53" spans="1:117" ht="16.5" customHeight="1" x14ac:dyDescent="0.25">
      <c r="A53" s="238"/>
      <c r="F53" s="203"/>
      <c r="BH53" s="246"/>
      <c r="BI53" s="246"/>
      <c r="BJ53" s="246"/>
      <c r="BK53" s="246"/>
      <c r="BL53" s="246"/>
      <c r="BM53" s="246"/>
      <c r="BN53" s="246"/>
      <c r="BO53" s="246"/>
      <c r="BP53" s="246"/>
      <c r="BQ53" s="246"/>
      <c r="BR53" s="246"/>
      <c r="BS53" s="246"/>
      <c r="BT53" s="246"/>
      <c r="DL53" s="203"/>
      <c r="DM53" s="203"/>
    </row>
    <row r="54" spans="1:117" ht="16.5" customHeight="1" x14ac:dyDescent="0.25">
      <c r="A54" s="238"/>
      <c r="F54" s="203"/>
      <c r="BH54" s="246"/>
      <c r="BI54" s="246"/>
      <c r="BJ54" s="246"/>
      <c r="BK54" s="246"/>
      <c r="BL54" s="246"/>
      <c r="BM54" s="246"/>
      <c r="BN54" s="246"/>
      <c r="BO54" s="246"/>
      <c r="BP54" s="246"/>
      <c r="BQ54" s="246"/>
      <c r="BR54" s="246"/>
      <c r="BS54" s="246"/>
      <c r="BT54" s="246"/>
      <c r="DL54" s="203"/>
      <c r="DM54" s="203"/>
    </row>
    <row r="55" spans="1:117" ht="13.5" customHeight="1" x14ac:dyDescent="0.25">
      <c r="A55" s="238"/>
      <c r="F55" s="203"/>
      <c r="BR55" s="202"/>
      <c r="BS55" s="202"/>
      <c r="CA55" s="204"/>
      <c r="CB55" s="204"/>
      <c r="CC55" s="204"/>
      <c r="CD55" s="204"/>
      <c r="CE55" s="204"/>
      <c r="CF55" s="204"/>
      <c r="CG55" s="204"/>
      <c r="DE55" s="203"/>
      <c r="DF55" s="203"/>
      <c r="DG55" s="203"/>
      <c r="DH55" s="203"/>
      <c r="DI55" s="203"/>
      <c r="DJ55" s="203"/>
      <c r="DK55" s="203"/>
      <c r="DL55" s="203"/>
      <c r="DM55" s="203"/>
    </row>
    <row r="56" spans="1:117" x14ac:dyDescent="0.25">
      <c r="F56" s="203"/>
      <c r="BR56" s="202"/>
      <c r="BS56" s="202"/>
      <c r="CA56" s="204"/>
      <c r="CB56" s="204"/>
      <c r="CC56" s="204"/>
      <c r="CD56" s="204"/>
      <c r="CE56" s="204"/>
      <c r="CF56" s="204"/>
      <c r="CG56" s="204"/>
      <c r="DE56" s="203"/>
      <c r="DF56" s="203"/>
      <c r="DG56" s="203"/>
      <c r="DH56" s="203"/>
      <c r="DI56" s="203"/>
      <c r="DJ56" s="203"/>
      <c r="DK56" s="203"/>
      <c r="DL56" s="203"/>
      <c r="DM56" s="203"/>
    </row>
    <row r="57" spans="1:117" x14ac:dyDescent="0.25">
      <c r="F57" s="203"/>
      <c r="BR57" s="202"/>
      <c r="BS57" s="202"/>
      <c r="CA57" s="204"/>
      <c r="CB57" s="204"/>
      <c r="CC57" s="204"/>
      <c r="CD57" s="204"/>
      <c r="CE57" s="204"/>
      <c r="CF57" s="204"/>
      <c r="CG57" s="204"/>
      <c r="DE57" s="203"/>
      <c r="DF57" s="203"/>
      <c r="DG57" s="203"/>
      <c r="DH57" s="203"/>
      <c r="DI57" s="203"/>
      <c r="DJ57" s="203"/>
      <c r="DK57" s="203"/>
      <c r="DL57" s="203"/>
      <c r="DM57" s="203"/>
    </row>
    <row r="58" spans="1:117" x14ac:dyDescent="0.25">
      <c r="B58" s="218"/>
      <c r="C58" s="221"/>
      <c r="D58" s="249"/>
      <c r="P58" s="241"/>
      <c r="Q58" s="225"/>
      <c r="R58" s="241"/>
      <c r="S58" s="225"/>
      <c r="T58" s="241"/>
      <c r="U58" s="241"/>
      <c r="V58" s="241"/>
      <c r="W58" s="241"/>
      <c r="X58" s="241"/>
      <c r="Y58" s="241"/>
      <c r="Z58" s="225"/>
      <c r="AA58" s="235"/>
      <c r="AB58" s="235"/>
      <c r="AC58" s="235"/>
      <c r="AJ58" s="235"/>
      <c r="AK58" s="235"/>
      <c r="AL58" s="235"/>
      <c r="AM58" s="235"/>
      <c r="AN58" s="235"/>
      <c r="AO58" s="235"/>
      <c r="BH58" s="235"/>
      <c r="BI58" s="235"/>
      <c r="BJ58" s="250"/>
      <c r="BK58" s="241"/>
      <c r="BL58" s="241"/>
      <c r="BM58" s="241"/>
      <c r="BN58" s="241"/>
      <c r="BO58" s="241"/>
      <c r="BP58" s="241"/>
      <c r="BQ58" s="241"/>
      <c r="BR58" s="241"/>
      <c r="BS58" s="241"/>
    </row>
    <row r="59" spans="1:117" x14ac:dyDescent="0.25">
      <c r="C59" s="224"/>
      <c r="BH59" s="203"/>
      <c r="BI59" s="203"/>
      <c r="BJ59" s="203"/>
      <c r="BK59" s="212"/>
      <c r="BL59" s="203"/>
    </row>
    <row r="60" spans="1:117" ht="12.75" customHeight="1" x14ac:dyDescent="0.25">
      <c r="BH60" s="203"/>
      <c r="BI60" s="203"/>
      <c r="BJ60" s="203"/>
      <c r="BK60" s="212"/>
      <c r="BL60" s="203"/>
    </row>
    <row r="61" spans="1:117" x14ac:dyDescent="0.25">
      <c r="BH61" s="203"/>
      <c r="BI61" s="203"/>
      <c r="BJ61" s="203"/>
      <c r="BK61" s="212"/>
      <c r="BL61" s="203"/>
    </row>
    <row r="62" spans="1:117" x14ac:dyDescent="0.25">
      <c r="P62" s="251"/>
      <c r="Q62" s="251"/>
      <c r="R62" s="251"/>
      <c r="S62" s="251"/>
      <c r="T62" s="251"/>
      <c r="BH62" s="203"/>
      <c r="BI62" s="203"/>
      <c r="BJ62" s="203"/>
      <c r="BK62" s="212"/>
      <c r="BL62" s="203"/>
    </row>
    <row r="63" spans="1:117" ht="12.75" customHeight="1" x14ac:dyDescent="0.25">
      <c r="P63" s="252"/>
      <c r="Q63" s="252"/>
      <c r="R63" s="252"/>
      <c r="S63" s="252"/>
      <c r="T63" s="212"/>
      <c r="BH63" s="203"/>
      <c r="BI63" s="203"/>
      <c r="BJ63" s="203"/>
      <c r="BK63" s="212"/>
      <c r="BL63" s="203"/>
    </row>
    <row r="64" spans="1:117" ht="12.75" customHeight="1" x14ac:dyDescent="0.25">
      <c r="P64" s="253"/>
      <c r="Q64" s="253"/>
      <c r="R64" s="253"/>
      <c r="S64" s="253"/>
      <c r="T64" s="253"/>
      <c r="BH64" s="203"/>
      <c r="BI64" s="203"/>
      <c r="BJ64" s="203"/>
      <c r="BK64" s="212"/>
      <c r="BL64" s="203"/>
    </row>
    <row r="65" spans="5:64" x14ac:dyDescent="0.25">
      <c r="K65" s="244"/>
      <c r="L65" s="244"/>
      <c r="M65" s="244"/>
      <c r="N65" s="244"/>
      <c r="O65" s="245"/>
      <c r="P65" s="253"/>
      <c r="Q65" s="253"/>
      <c r="R65" s="253"/>
      <c r="S65" s="253"/>
      <c r="T65" s="253"/>
      <c r="BH65" s="203"/>
      <c r="BI65" s="203"/>
      <c r="BJ65" s="203"/>
      <c r="BK65" s="212"/>
      <c r="BL65" s="203"/>
    </row>
    <row r="66" spans="5:64" x14ac:dyDescent="0.25">
      <c r="L66" s="254"/>
      <c r="M66" s="254"/>
      <c r="N66" s="254"/>
      <c r="P66" s="255"/>
      <c r="Q66" s="212"/>
      <c r="R66" s="212"/>
      <c r="S66" s="212"/>
      <c r="T66" s="212"/>
      <c r="BH66" s="203"/>
      <c r="BI66" s="203"/>
      <c r="BJ66" s="203"/>
      <c r="BK66" s="212"/>
      <c r="BL66" s="203"/>
    </row>
    <row r="67" spans="5:64" x14ac:dyDescent="0.25">
      <c r="F67" s="249"/>
      <c r="G67" s="241"/>
      <c r="H67" s="241"/>
      <c r="P67" s="256"/>
      <c r="BH67" s="203"/>
      <c r="BI67" s="203"/>
      <c r="BJ67" s="203"/>
      <c r="BK67" s="212"/>
      <c r="BL67" s="203"/>
    </row>
    <row r="68" spans="5:64" ht="12.75" customHeight="1" x14ac:dyDescent="0.25">
      <c r="E68" s="257"/>
      <c r="F68" s="258"/>
      <c r="G68" s="259"/>
      <c r="H68" s="241"/>
      <c r="P68" s="260"/>
      <c r="BH68" s="203"/>
      <c r="BI68" s="203"/>
      <c r="BJ68" s="203"/>
      <c r="BK68" s="212"/>
      <c r="BL68" s="203"/>
    </row>
    <row r="69" spans="5:64" ht="12.75" customHeight="1" x14ac:dyDescent="0.25">
      <c r="E69" s="259"/>
      <c r="P69" s="260"/>
      <c r="BH69" s="203"/>
      <c r="BI69" s="203"/>
      <c r="BJ69" s="203"/>
      <c r="BK69" s="212"/>
      <c r="BL69" s="203"/>
    </row>
    <row r="70" spans="5:64" x14ac:dyDescent="0.25">
      <c r="P70" s="260"/>
      <c r="BH70" s="203"/>
      <c r="BI70" s="203"/>
      <c r="BJ70" s="203"/>
      <c r="BK70" s="212"/>
      <c r="BL70" s="203"/>
    </row>
    <row r="71" spans="5:64" ht="12.75" customHeight="1" x14ac:dyDescent="0.25">
      <c r="P71" s="261"/>
      <c r="BH71" s="203"/>
      <c r="BI71" s="203"/>
      <c r="BJ71" s="203"/>
      <c r="BK71" s="212"/>
      <c r="BL71" s="203"/>
    </row>
    <row r="72" spans="5:64" ht="18" x14ac:dyDescent="0.25">
      <c r="G72" s="262"/>
      <c r="H72" s="263"/>
      <c r="I72" s="243"/>
      <c r="P72" s="261"/>
      <c r="BH72" s="203"/>
      <c r="BI72" s="203"/>
      <c r="BJ72" s="203"/>
      <c r="BK72" s="212"/>
      <c r="BL72" s="203"/>
    </row>
    <row r="73" spans="5:64" ht="12.75" customHeight="1" x14ac:dyDescent="0.25">
      <c r="K73" s="244"/>
      <c r="L73" s="244"/>
      <c r="M73" s="244"/>
      <c r="N73" s="244"/>
      <c r="O73" s="244"/>
      <c r="P73" s="260"/>
      <c r="BH73" s="203"/>
      <c r="BI73" s="203"/>
      <c r="BJ73" s="203"/>
      <c r="BK73" s="212"/>
      <c r="BL73" s="203"/>
    </row>
    <row r="74" spans="5:64" ht="12.75" customHeight="1" x14ac:dyDescent="0.25">
      <c r="F74" s="264"/>
      <c r="L74" s="254"/>
      <c r="M74" s="254"/>
      <c r="N74" s="254"/>
      <c r="P74" s="265"/>
      <c r="BH74" s="203"/>
      <c r="BI74" s="203"/>
      <c r="BJ74" s="203"/>
      <c r="BK74" s="212"/>
      <c r="BL74" s="203"/>
    </row>
    <row r="75" spans="5:64" x14ac:dyDescent="0.25">
      <c r="E75" s="266"/>
      <c r="F75" s="264"/>
      <c r="P75" s="265"/>
      <c r="BH75" s="203"/>
      <c r="BI75" s="203"/>
      <c r="BJ75" s="203"/>
      <c r="BK75" s="212"/>
      <c r="BL75" s="203"/>
    </row>
    <row r="76" spans="5:64" ht="12.75" customHeight="1" x14ac:dyDescent="0.25">
      <c r="E76" s="266"/>
      <c r="F76" s="264"/>
      <c r="P76" s="256"/>
      <c r="BH76" s="203"/>
      <c r="BI76" s="203"/>
      <c r="BJ76" s="203"/>
      <c r="BK76" s="212"/>
      <c r="BL76" s="203"/>
    </row>
    <row r="77" spans="5:64" ht="12.75" customHeight="1" x14ac:dyDescent="0.25">
      <c r="E77" s="266"/>
      <c r="F77" s="264"/>
      <c r="P77" s="256"/>
      <c r="BH77" s="203"/>
      <c r="BI77" s="203"/>
      <c r="BJ77" s="203"/>
      <c r="BK77" s="212"/>
      <c r="BL77" s="203"/>
    </row>
    <row r="78" spans="5:64" ht="12.75" customHeight="1" x14ac:dyDescent="0.25">
      <c r="E78" s="266"/>
      <c r="H78" s="266"/>
      <c r="P78" s="260"/>
      <c r="BH78" s="203"/>
      <c r="BI78" s="203"/>
      <c r="BJ78" s="203"/>
      <c r="BK78" s="212"/>
      <c r="BL78" s="203"/>
    </row>
    <row r="79" spans="5:64" ht="12.75" customHeight="1" x14ac:dyDescent="0.25">
      <c r="H79" s="267"/>
      <c r="P79" s="260"/>
      <c r="BH79" s="203"/>
      <c r="BI79" s="203"/>
      <c r="BJ79" s="203"/>
      <c r="BK79" s="212"/>
      <c r="BL79" s="203"/>
    </row>
    <row r="80" spans="5:64" ht="12.75" customHeight="1" x14ac:dyDescent="0.25">
      <c r="I80" s="268"/>
      <c r="J80" s="268"/>
      <c r="P80" s="260"/>
      <c r="BH80" s="203"/>
      <c r="BI80" s="203"/>
      <c r="BJ80" s="203"/>
      <c r="BK80" s="212"/>
      <c r="BL80" s="203"/>
    </row>
    <row r="81" spans="8:64" x14ac:dyDescent="0.25">
      <c r="I81" s="268"/>
      <c r="J81" s="268"/>
      <c r="K81" s="244"/>
      <c r="L81" s="244"/>
      <c r="M81" s="244"/>
      <c r="N81" s="244"/>
      <c r="O81" s="244"/>
      <c r="P81" s="269"/>
      <c r="BH81" s="203"/>
      <c r="BI81" s="203"/>
      <c r="BJ81" s="203"/>
      <c r="BK81" s="212"/>
      <c r="BL81" s="203"/>
    </row>
    <row r="82" spans="8:64" x14ac:dyDescent="0.25">
      <c r="H82" s="270"/>
      <c r="I82" s="268"/>
      <c r="J82" s="268"/>
      <c r="L82" s="254"/>
      <c r="M82" s="254"/>
      <c r="N82" s="254"/>
      <c r="P82" s="260"/>
      <c r="BH82" s="203"/>
      <c r="BI82" s="203"/>
      <c r="BJ82" s="203"/>
      <c r="BK82" s="212"/>
      <c r="BL82" s="203"/>
    </row>
    <row r="83" spans="8:64" ht="12.75" customHeight="1" x14ac:dyDescent="0.25">
      <c r="H83" s="270"/>
      <c r="I83" s="268"/>
      <c r="J83" s="268"/>
      <c r="P83" s="271"/>
      <c r="BH83" s="203"/>
      <c r="BI83" s="203"/>
      <c r="BJ83" s="203"/>
      <c r="BK83" s="212"/>
      <c r="BL83" s="203"/>
    </row>
    <row r="84" spans="8:64" x14ac:dyDescent="0.25">
      <c r="H84" s="270"/>
      <c r="I84" s="268"/>
      <c r="J84" s="268"/>
      <c r="P84" s="272"/>
      <c r="BH84" s="203"/>
      <c r="BI84" s="203"/>
      <c r="BJ84" s="203"/>
      <c r="BK84" s="212"/>
      <c r="BL84" s="203"/>
    </row>
    <row r="85" spans="8:64" ht="12.75" customHeight="1" x14ac:dyDescent="0.25">
      <c r="H85" s="273"/>
      <c r="I85" s="268"/>
      <c r="J85" s="268"/>
      <c r="K85" s="268"/>
      <c r="L85" s="268"/>
      <c r="M85" s="268"/>
      <c r="N85" s="268"/>
      <c r="O85" s="268"/>
      <c r="P85" s="260"/>
      <c r="BH85" s="203"/>
      <c r="BI85" s="203"/>
      <c r="BJ85" s="203"/>
      <c r="BK85" s="212"/>
      <c r="BL85" s="203"/>
    </row>
    <row r="86" spans="8:64" ht="12.75" customHeight="1" x14ac:dyDescent="0.25">
      <c r="H86" s="273"/>
      <c r="K86" s="268"/>
      <c r="L86" s="268"/>
      <c r="M86" s="268"/>
      <c r="N86" s="268"/>
      <c r="O86" s="268"/>
      <c r="P86" s="265"/>
      <c r="BH86" s="203"/>
      <c r="BI86" s="203"/>
      <c r="BJ86" s="203"/>
      <c r="BK86" s="212"/>
      <c r="BL86" s="203"/>
    </row>
    <row r="87" spans="8:64" ht="12.75" customHeight="1" x14ac:dyDescent="0.25">
      <c r="H87" s="273"/>
      <c r="K87" s="268"/>
      <c r="L87" s="268"/>
      <c r="M87" s="268"/>
      <c r="N87" s="268"/>
      <c r="O87" s="268"/>
      <c r="P87" s="274"/>
      <c r="BH87" s="203"/>
      <c r="BI87" s="203"/>
      <c r="BJ87" s="203"/>
      <c r="BK87" s="212"/>
      <c r="BL87" s="203"/>
    </row>
    <row r="88" spans="8:64" ht="12.75" customHeight="1" x14ac:dyDescent="0.25">
      <c r="H88" s="273"/>
      <c r="K88" s="268"/>
      <c r="L88" s="268"/>
      <c r="M88" s="268"/>
      <c r="N88" s="268"/>
      <c r="O88" s="268"/>
      <c r="P88" s="205"/>
      <c r="BH88" s="203"/>
      <c r="BI88" s="203"/>
      <c r="BJ88" s="203"/>
      <c r="BK88" s="212"/>
      <c r="BL88" s="203"/>
    </row>
    <row r="89" spans="8:64" x14ac:dyDescent="0.25">
      <c r="K89" s="268"/>
      <c r="L89" s="268"/>
      <c r="M89" s="268"/>
      <c r="N89" s="268"/>
      <c r="O89" s="268"/>
      <c r="P89" s="205"/>
      <c r="AQ89" s="203"/>
      <c r="AR89" s="203"/>
      <c r="AS89" s="203"/>
      <c r="AT89" s="203"/>
      <c r="AU89" s="203"/>
      <c r="AV89" s="203"/>
      <c r="AW89" s="203"/>
      <c r="AX89" s="203"/>
      <c r="AY89" s="203"/>
      <c r="AZ89" s="203"/>
      <c r="BA89" s="203"/>
      <c r="BB89" s="203"/>
      <c r="BC89" s="203"/>
      <c r="BF89" s="203"/>
      <c r="BG89" s="203"/>
      <c r="BH89" s="203"/>
      <c r="BI89" s="203"/>
      <c r="BJ89" s="203"/>
      <c r="BK89" s="212"/>
      <c r="BL89" s="203"/>
    </row>
    <row r="90" spans="8:64" x14ac:dyDescent="0.25">
      <c r="H90" s="273"/>
      <c r="K90" s="268"/>
      <c r="L90" s="268"/>
      <c r="M90" s="268"/>
      <c r="N90" s="268"/>
      <c r="O90" s="268"/>
      <c r="P90" s="205"/>
      <c r="AQ90" s="203"/>
      <c r="AR90" s="203"/>
      <c r="AS90" s="203"/>
      <c r="AT90" s="203"/>
      <c r="AU90" s="203"/>
      <c r="AV90" s="203"/>
      <c r="AW90" s="203"/>
      <c r="AX90" s="203"/>
      <c r="AY90" s="203"/>
      <c r="AZ90" s="203"/>
      <c r="BA90" s="203"/>
      <c r="BB90" s="203"/>
      <c r="BC90" s="203"/>
      <c r="BF90" s="203"/>
      <c r="BG90" s="203"/>
      <c r="BH90" s="203"/>
      <c r="BI90" s="203"/>
      <c r="BJ90" s="203"/>
      <c r="BK90" s="212"/>
      <c r="BL90" s="203"/>
    </row>
    <row r="91" spans="8:64" x14ac:dyDescent="0.25">
      <c r="H91" s="273"/>
      <c r="K91" s="224"/>
      <c r="L91" s="224"/>
      <c r="P91" s="205"/>
      <c r="AQ91" s="203"/>
      <c r="AR91" s="203"/>
      <c r="AS91" s="203"/>
      <c r="AT91" s="203"/>
      <c r="AU91" s="203"/>
      <c r="AV91" s="203"/>
      <c r="AW91" s="203"/>
      <c r="AX91" s="203"/>
      <c r="AY91" s="203"/>
      <c r="AZ91" s="203"/>
      <c r="BA91" s="203"/>
      <c r="BB91" s="203"/>
      <c r="BC91" s="203"/>
      <c r="BF91" s="203"/>
      <c r="BG91" s="203"/>
      <c r="BH91" s="203"/>
      <c r="BI91" s="203"/>
      <c r="BJ91" s="203"/>
      <c r="BK91" s="212"/>
      <c r="BL91" s="203"/>
    </row>
    <row r="92" spans="8:64" x14ac:dyDescent="0.25">
      <c r="H92" s="273"/>
      <c r="K92" s="224"/>
      <c r="L92" s="224"/>
      <c r="P92" s="205"/>
      <c r="AQ92" s="203"/>
      <c r="AR92" s="203"/>
      <c r="AS92" s="203"/>
      <c r="AT92" s="203"/>
      <c r="AU92" s="203"/>
      <c r="AV92" s="203"/>
      <c r="AW92" s="203"/>
      <c r="AX92" s="203"/>
      <c r="AY92" s="203"/>
      <c r="AZ92" s="203"/>
      <c r="BA92" s="203"/>
      <c r="BB92" s="203"/>
      <c r="BC92" s="203"/>
      <c r="BF92" s="203"/>
      <c r="BG92" s="203"/>
      <c r="BH92" s="203"/>
      <c r="BI92" s="203"/>
      <c r="BJ92" s="203"/>
      <c r="BK92" s="212"/>
      <c r="BL92" s="203"/>
    </row>
    <row r="93" spans="8:64" ht="12.75" customHeight="1" x14ac:dyDescent="0.25">
      <c r="H93" s="273"/>
      <c r="K93" s="224"/>
      <c r="L93" s="224"/>
      <c r="P93" s="205"/>
      <c r="AQ93" s="203"/>
      <c r="AR93" s="203"/>
      <c r="AS93" s="203"/>
      <c r="AT93" s="203"/>
      <c r="AU93" s="203"/>
      <c r="AV93" s="203"/>
      <c r="AW93" s="203"/>
      <c r="AX93" s="203"/>
      <c r="AY93" s="203"/>
      <c r="AZ93" s="203"/>
      <c r="BA93" s="203"/>
      <c r="BB93" s="203"/>
      <c r="BC93" s="203"/>
      <c r="BF93" s="203"/>
      <c r="BG93" s="203"/>
      <c r="BH93" s="203"/>
      <c r="BI93" s="203"/>
      <c r="BJ93" s="203"/>
      <c r="BK93" s="212"/>
      <c r="BL93" s="203"/>
    </row>
    <row r="94" spans="8:64" x14ac:dyDescent="0.25">
      <c r="H94" s="273"/>
      <c r="K94" s="224"/>
      <c r="L94" s="224"/>
      <c r="M94" s="224"/>
      <c r="P94" s="205"/>
      <c r="AQ94" s="203"/>
      <c r="AR94" s="203"/>
      <c r="AS94" s="203"/>
      <c r="AT94" s="203"/>
      <c r="AU94" s="203"/>
      <c r="AV94" s="203"/>
      <c r="AW94" s="203"/>
      <c r="AX94" s="203"/>
      <c r="AY94" s="203"/>
      <c r="AZ94" s="203"/>
      <c r="BA94" s="203"/>
      <c r="BB94" s="203"/>
      <c r="BC94" s="203"/>
      <c r="BF94" s="203"/>
      <c r="BG94" s="203"/>
      <c r="BH94" s="203"/>
      <c r="BI94" s="203"/>
      <c r="BJ94" s="203"/>
      <c r="BK94" s="212"/>
      <c r="BL94" s="203"/>
    </row>
    <row r="95" spans="8:64" x14ac:dyDescent="0.25">
      <c r="H95" s="273"/>
      <c r="L95" s="224"/>
      <c r="M95" s="224"/>
      <c r="P95" s="205"/>
      <c r="AQ95" s="203"/>
      <c r="AR95" s="203"/>
      <c r="AS95" s="203"/>
      <c r="AT95" s="203"/>
      <c r="AU95" s="203"/>
      <c r="AV95" s="203"/>
      <c r="AW95" s="203"/>
      <c r="AX95" s="203"/>
      <c r="AY95" s="203"/>
      <c r="AZ95" s="203"/>
      <c r="BA95" s="203"/>
      <c r="BB95" s="203"/>
      <c r="BC95" s="203"/>
      <c r="BF95" s="203"/>
      <c r="BG95" s="203"/>
      <c r="BH95" s="203"/>
      <c r="BI95" s="203"/>
      <c r="BJ95" s="203"/>
      <c r="BK95" s="212"/>
      <c r="BL95" s="203"/>
    </row>
    <row r="96" spans="8:64" x14ac:dyDescent="0.25">
      <c r="H96" s="273"/>
      <c r="AQ96" s="203"/>
      <c r="AR96" s="203"/>
      <c r="AS96" s="203"/>
      <c r="AT96" s="203"/>
      <c r="AU96" s="203"/>
      <c r="AV96" s="203"/>
      <c r="AW96" s="203"/>
      <c r="AX96" s="203"/>
      <c r="AY96" s="203"/>
      <c r="AZ96" s="203"/>
      <c r="BA96" s="203"/>
      <c r="BB96" s="203"/>
      <c r="BC96" s="203"/>
      <c r="BF96" s="203"/>
      <c r="BG96" s="203"/>
      <c r="BH96" s="203"/>
      <c r="BI96" s="203"/>
      <c r="BJ96" s="203"/>
      <c r="BK96" s="212"/>
      <c r="BL96" s="203"/>
    </row>
    <row r="97" spans="8:64" x14ac:dyDescent="0.25">
      <c r="AQ97" s="203"/>
      <c r="AR97" s="203"/>
      <c r="AS97" s="203"/>
      <c r="AT97" s="203"/>
      <c r="AU97" s="203"/>
      <c r="AV97" s="203"/>
      <c r="AW97" s="203"/>
      <c r="AX97" s="203"/>
      <c r="AY97" s="203"/>
      <c r="AZ97" s="203"/>
      <c r="BA97" s="203"/>
      <c r="BB97" s="203"/>
      <c r="BC97" s="203"/>
      <c r="BF97" s="203"/>
      <c r="BG97" s="203"/>
      <c r="BH97" s="203"/>
      <c r="BI97" s="203"/>
      <c r="BJ97" s="203"/>
      <c r="BK97" s="212"/>
      <c r="BL97" s="203"/>
    </row>
    <row r="98" spans="8:64" x14ac:dyDescent="0.25">
      <c r="AQ98" s="203"/>
      <c r="AR98" s="203"/>
      <c r="AS98" s="203"/>
      <c r="AT98" s="203"/>
      <c r="AU98" s="203"/>
      <c r="AV98" s="203"/>
      <c r="AW98" s="203"/>
      <c r="AX98" s="203"/>
      <c r="AY98" s="203"/>
      <c r="AZ98" s="203"/>
      <c r="BA98" s="203"/>
      <c r="BB98" s="203"/>
      <c r="BC98" s="203"/>
      <c r="BF98" s="203"/>
      <c r="BG98" s="203"/>
      <c r="BH98" s="203"/>
      <c r="BI98" s="203"/>
      <c r="BJ98" s="203"/>
      <c r="BK98" s="212"/>
      <c r="BL98" s="203"/>
    </row>
    <row r="99" spans="8:64" x14ac:dyDescent="0.25">
      <c r="H99" s="270"/>
      <c r="AQ99" s="203"/>
      <c r="AR99" s="203"/>
      <c r="AS99" s="203"/>
      <c r="AT99" s="203"/>
      <c r="AU99" s="203"/>
      <c r="AV99" s="203"/>
      <c r="AW99" s="203"/>
      <c r="AX99" s="203"/>
      <c r="AY99" s="203"/>
      <c r="AZ99" s="203"/>
      <c r="BA99" s="203"/>
      <c r="BB99" s="203"/>
      <c r="BC99" s="203"/>
      <c r="BF99" s="203"/>
      <c r="BG99" s="203"/>
      <c r="BH99" s="203"/>
      <c r="BI99" s="203"/>
      <c r="BJ99" s="203"/>
      <c r="BK99" s="212"/>
      <c r="BL99" s="203"/>
    </row>
    <row r="100" spans="8:64" x14ac:dyDescent="0.25">
      <c r="H100" s="270"/>
      <c r="AQ100" s="203"/>
      <c r="AR100" s="203"/>
      <c r="AS100" s="203"/>
      <c r="AT100" s="203"/>
      <c r="AU100" s="203"/>
      <c r="AV100" s="203"/>
      <c r="AW100" s="203"/>
      <c r="AX100" s="203"/>
      <c r="AY100" s="203"/>
      <c r="AZ100" s="203"/>
      <c r="BA100" s="203"/>
      <c r="BB100" s="203"/>
      <c r="BC100" s="203"/>
      <c r="BF100" s="203"/>
      <c r="BG100" s="203"/>
      <c r="BH100" s="203"/>
      <c r="BI100" s="203"/>
      <c r="BJ100" s="203"/>
      <c r="BK100" s="212"/>
      <c r="BL100" s="203"/>
    </row>
    <row r="101" spans="8:64" x14ac:dyDescent="0.25">
      <c r="H101" s="270"/>
      <c r="AQ101" s="203"/>
      <c r="AR101" s="203"/>
      <c r="AS101" s="203"/>
      <c r="AT101" s="203"/>
      <c r="AU101" s="203"/>
      <c r="AV101" s="203"/>
      <c r="AW101" s="203"/>
      <c r="AX101" s="203"/>
      <c r="AY101" s="203"/>
      <c r="AZ101" s="203"/>
      <c r="BA101" s="203"/>
      <c r="BB101" s="203"/>
      <c r="BC101" s="203"/>
      <c r="BF101" s="203"/>
      <c r="BG101" s="203"/>
      <c r="BH101" s="203"/>
      <c r="BI101" s="203"/>
      <c r="BJ101" s="203"/>
      <c r="BK101" s="212"/>
      <c r="BL101" s="203"/>
    </row>
    <row r="102" spans="8:64" x14ac:dyDescent="0.25">
      <c r="H102" s="273"/>
      <c r="AQ102" s="203"/>
      <c r="AR102" s="203"/>
      <c r="AS102" s="203"/>
      <c r="AT102" s="203"/>
      <c r="AU102" s="203"/>
      <c r="AV102" s="203"/>
      <c r="AW102" s="203"/>
      <c r="AX102" s="203"/>
      <c r="AY102" s="203"/>
      <c r="AZ102" s="203"/>
      <c r="BA102" s="203"/>
      <c r="BB102" s="203"/>
      <c r="BC102" s="203"/>
      <c r="BF102" s="203"/>
      <c r="BG102" s="203"/>
      <c r="BH102" s="203"/>
      <c r="BI102" s="203"/>
      <c r="BJ102" s="203"/>
      <c r="BK102" s="212"/>
      <c r="BL102" s="203"/>
    </row>
    <row r="103" spans="8:64" x14ac:dyDescent="0.25">
      <c r="H103" s="273"/>
      <c r="AQ103" s="203"/>
      <c r="AR103" s="203"/>
      <c r="AS103" s="203"/>
      <c r="AT103" s="203"/>
      <c r="AU103" s="203"/>
      <c r="AV103" s="203"/>
      <c r="AW103" s="203"/>
      <c r="AX103" s="203"/>
      <c r="AY103" s="203"/>
      <c r="AZ103" s="203"/>
      <c r="BA103" s="203"/>
      <c r="BB103" s="203"/>
      <c r="BC103" s="203"/>
      <c r="BF103" s="203"/>
      <c r="BG103" s="203"/>
      <c r="BH103" s="203"/>
      <c r="BI103" s="203"/>
      <c r="BJ103" s="203"/>
      <c r="BK103" s="212"/>
      <c r="BL103" s="203"/>
    </row>
    <row r="104" spans="8:64" x14ac:dyDescent="0.25">
      <c r="H104" s="273"/>
      <c r="AQ104" s="203"/>
      <c r="AR104" s="203"/>
      <c r="AS104" s="203"/>
      <c r="AT104" s="203"/>
      <c r="AU104" s="203"/>
      <c r="AV104" s="203"/>
      <c r="AW104" s="203"/>
      <c r="AX104" s="203"/>
      <c r="AY104" s="203"/>
      <c r="AZ104" s="203"/>
      <c r="BA104" s="203"/>
      <c r="BB104" s="203"/>
      <c r="BC104" s="203"/>
      <c r="BF104" s="203"/>
      <c r="BG104" s="203"/>
      <c r="BH104" s="203"/>
      <c r="BI104" s="203"/>
      <c r="BJ104" s="203"/>
      <c r="BK104" s="212"/>
      <c r="BL104" s="203"/>
    </row>
    <row r="105" spans="8:64" x14ac:dyDescent="0.25">
      <c r="H105" s="273"/>
      <c r="AQ105" s="203"/>
      <c r="AR105" s="203"/>
      <c r="AS105" s="203"/>
      <c r="AT105" s="203"/>
      <c r="AU105" s="203"/>
      <c r="AV105" s="203"/>
      <c r="AW105" s="203"/>
      <c r="AX105" s="203"/>
      <c r="AY105" s="203"/>
      <c r="AZ105" s="203"/>
      <c r="BA105" s="203"/>
      <c r="BB105" s="203"/>
      <c r="BC105" s="203"/>
      <c r="BF105" s="203"/>
      <c r="BG105" s="203"/>
      <c r="BH105" s="203"/>
      <c r="BI105" s="203"/>
      <c r="BJ105" s="203"/>
      <c r="BK105" s="212"/>
      <c r="BL105" s="203"/>
    </row>
    <row r="106" spans="8:64" x14ac:dyDescent="0.25">
      <c r="AQ106" s="203"/>
      <c r="AR106" s="203"/>
      <c r="AS106" s="203"/>
      <c r="AT106" s="203"/>
      <c r="AU106" s="203"/>
      <c r="AV106" s="203"/>
      <c r="AW106" s="203"/>
      <c r="AX106" s="203"/>
      <c r="AY106" s="203"/>
      <c r="AZ106" s="203"/>
      <c r="BA106" s="203"/>
      <c r="BB106" s="203"/>
      <c r="BC106" s="203"/>
      <c r="BF106" s="203"/>
      <c r="BG106" s="203"/>
      <c r="BH106" s="203"/>
      <c r="BI106" s="203"/>
      <c r="BJ106" s="203"/>
      <c r="BK106" s="212"/>
      <c r="BL106" s="203"/>
    </row>
    <row r="107" spans="8:64" x14ac:dyDescent="0.25">
      <c r="H107" s="273"/>
      <c r="AQ107" s="203"/>
      <c r="AR107" s="203"/>
      <c r="AS107" s="203"/>
      <c r="AT107" s="203"/>
      <c r="AU107" s="203"/>
      <c r="AV107" s="203"/>
      <c r="AW107" s="203"/>
      <c r="AX107" s="203"/>
      <c r="AY107" s="203"/>
      <c r="AZ107" s="203"/>
      <c r="BA107" s="203"/>
      <c r="BB107" s="203"/>
      <c r="BC107" s="203"/>
      <c r="BF107" s="203"/>
      <c r="BG107" s="203"/>
      <c r="BH107" s="203"/>
      <c r="BI107" s="203"/>
      <c r="BJ107" s="203"/>
      <c r="BK107" s="212"/>
      <c r="BL107" s="203"/>
    </row>
    <row r="108" spans="8:64" x14ac:dyDescent="0.25">
      <c r="H108" s="273"/>
      <c r="AQ108" s="203"/>
      <c r="AR108" s="203"/>
      <c r="AS108" s="203"/>
      <c r="AT108" s="203"/>
      <c r="AU108" s="203"/>
      <c r="AV108" s="203"/>
      <c r="AW108" s="203"/>
      <c r="AX108" s="203"/>
      <c r="AY108" s="203"/>
      <c r="AZ108" s="203"/>
      <c r="BA108" s="203"/>
      <c r="BB108" s="203"/>
      <c r="BC108" s="203"/>
      <c r="BF108" s="203"/>
      <c r="BG108" s="203"/>
      <c r="BH108" s="203"/>
      <c r="BI108" s="203"/>
      <c r="BJ108" s="203"/>
      <c r="BK108" s="212"/>
      <c r="BL108" s="203"/>
    </row>
    <row r="109" spans="8:64" x14ac:dyDescent="0.25">
      <c r="H109" s="273"/>
      <c r="AQ109" s="203"/>
      <c r="AR109" s="203"/>
      <c r="AS109" s="203"/>
      <c r="AT109" s="203"/>
      <c r="AU109" s="203"/>
      <c r="AV109" s="203"/>
      <c r="AW109" s="203"/>
      <c r="AX109" s="203"/>
      <c r="AY109" s="203"/>
      <c r="AZ109" s="203"/>
      <c r="BA109" s="203"/>
      <c r="BB109" s="203"/>
      <c r="BC109" s="203"/>
      <c r="BF109" s="203"/>
      <c r="BG109" s="203"/>
      <c r="BH109" s="203"/>
      <c r="BI109" s="203"/>
      <c r="BJ109" s="203"/>
      <c r="BK109" s="212"/>
      <c r="BL109" s="203"/>
    </row>
    <row r="110" spans="8:64" x14ac:dyDescent="0.25">
      <c r="H110" s="275"/>
      <c r="AQ110" s="203"/>
      <c r="AR110" s="203"/>
      <c r="AS110" s="203"/>
      <c r="AT110" s="203"/>
      <c r="AU110" s="203"/>
      <c r="AV110" s="203"/>
      <c r="AW110" s="203"/>
      <c r="AX110" s="203"/>
      <c r="AY110" s="203"/>
      <c r="AZ110" s="203"/>
      <c r="BA110" s="203"/>
      <c r="BB110" s="203"/>
      <c r="BC110" s="203"/>
      <c r="BF110" s="203"/>
      <c r="BG110" s="203"/>
      <c r="BH110" s="203"/>
      <c r="BI110" s="203"/>
      <c r="BJ110" s="203"/>
      <c r="BK110" s="212"/>
      <c r="BL110" s="203"/>
    </row>
    <row r="111" spans="8:64" x14ac:dyDescent="0.25">
      <c r="AQ111" s="203"/>
      <c r="AR111" s="203"/>
      <c r="AS111" s="203"/>
      <c r="AT111" s="203"/>
      <c r="AU111" s="203"/>
      <c r="AV111" s="203"/>
      <c r="AW111" s="203"/>
      <c r="AX111" s="203"/>
      <c r="AY111" s="203"/>
      <c r="AZ111" s="203"/>
      <c r="BA111" s="203"/>
      <c r="BB111" s="203"/>
      <c r="BC111" s="203"/>
      <c r="BF111" s="203"/>
      <c r="BG111" s="203"/>
      <c r="BH111" s="203"/>
      <c r="BI111" s="203"/>
      <c r="BJ111" s="203"/>
      <c r="BK111" s="212"/>
      <c r="BL111" s="203"/>
    </row>
    <row r="112" spans="8:64" x14ac:dyDescent="0.25">
      <c r="AQ112" s="203"/>
      <c r="AR112" s="203"/>
      <c r="AS112" s="203"/>
      <c r="AT112" s="203"/>
      <c r="AU112" s="203"/>
      <c r="AV112" s="203"/>
      <c r="AW112" s="203"/>
      <c r="AX112" s="203"/>
      <c r="AY112" s="203"/>
      <c r="AZ112" s="203"/>
      <c r="BA112" s="203"/>
      <c r="BB112" s="203"/>
      <c r="BC112" s="203"/>
      <c r="BF112" s="203"/>
      <c r="BG112" s="203"/>
      <c r="BH112" s="203"/>
      <c r="BI112" s="203"/>
      <c r="BJ112" s="203"/>
      <c r="BK112" s="212"/>
      <c r="BL112" s="203"/>
    </row>
    <row r="113" spans="43:64" x14ac:dyDescent="0.25">
      <c r="AQ113" s="203"/>
      <c r="AR113" s="203"/>
      <c r="AS113" s="203"/>
      <c r="AT113" s="203"/>
      <c r="AU113" s="203"/>
      <c r="AV113" s="203"/>
      <c r="AW113" s="203"/>
      <c r="AX113" s="203"/>
      <c r="AY113" s="203"/>
      <c r="AZ113" s="203"/>
      <c r="BA113" s="203"/>
      <c r="BB113" s="203"/>
      <c r="BC113" s="203"/>
      <c r="BF113" s="203"/>
      <c r="BG113" s="203"/>
      <c r="BH113" s="203"/>
      <c r="BI113" s="203"/>
      <c r="BJ113" s="203"/>
      <c r="BK113" s="212"/>
      <c r="BL113" s="203"/>
    </row>
    <row r="114" spans="43:64" x14ac:dyDescent="0.25">
      <c r="AQ114" s="203"/>
      <c r="AR114" s="203"/>
      <c r="AS114" s="203"/>
      <c r="AT114" s="203"/>
      <c r="AU114" s="203"/>
      <c r="AV114" s="203"/>
      <c r="AW114" s="203"/>
      <c r="AX114" s="203"/>
      <c r="AY114" s="203"/>
      <c r="AZ114" s="203"/>
      <c r="BA114" s="203"/>
      <c r="BB114" s="203"/>
      <c r="BC114" s="203"/>
      <c r="BF114" s="203"/>
      <c r="BG114" s="203"/>
      <c r="BH114" s="203"/>
      <c r="BI114" s="203"/>
      <c r="BJ114" s="203"/>
      <c r="BK114" s="212"/>
      <c r="BL114" s="203"/>
    </row>
    <row r="115" spans="43:64" x14ac:dyDescent="0.25">
      <c r="AQ115" s="203"/>
      <c r="AR115" s="203"/>
      <c r="AS115" s="203"/>
      <c r="AT115" s="203"/>
      <c r="AU115" s="203"/>
      <c r="AV115" s="203"/>
      <c r="AW115" s="203"/>
      <c r="AX115" s="203"/>
      <c r="AY115" s="203"/>
      <c r="AZ115" s="203"/>
      <c r="BA115" s="203"/>
      <c r="BB115" s="203"/>
      <c r="BC115" s="203"/>
      <c r="BF115" s="203"/>
      <c r="BG115" s="203"/>
      <c r="BH115" s="203"/>
      <c r="BI115" s="203"/>
      <c r="BJ115" s="203"/>
      <c r="BK115" s="212"/>
      <c r="BL115" s="203"/>
    </row>
    <row r="116" spans="43:64" x14ac:dyDescent="0.25">
      <c r="AQ116" s="203"/>
      <c r="AR116" s="203"/>
      <c r="AS116" s="203"/>
      <c r="AT116" s="203"/>
      <c r="AU116" s="203"/>
      <c r="AV116" s="203"/>
      <c r="AW116" s="203"/>
      <c r="AX116" s="203"/>
      <c r="AY116" s="203"/>
      <c r="AZ116" s="203"/>
      <c r="BA116" s="203"/>
      <c r="BB116" s="203"/>
      <c r="BC116" s="203"/>
      <c r="BF116" s="203"/>
      <c r="BG116" s="203"/>
      <c r="BH116" s="203"/>
      <c r="BI116" s="203"/>
      <c r="BJ116" s="203"/>
      <c r="BK116" s="212"/>
      <c r="BL116" s="203"/>
    </row>
    <row r="117" spans="43:64" x14ac:dyDescent="0.25">
      <c r="AQ117" s="203"/>
      <c r="AR117" s="203"/>
      <c r="AS117" s="203"/>
      <c r="AT117" s="203"/>
      <c r="AU117" s="203"/>
      <c r="AV117" s="203"/>
      <c r="AW117" s="203"/>
      <c r="AX117" s="203"/>
      <c r="AY117" s="203"/>
      <c r="AZ117" s="203"/>
      <c r="BA117" s="203"/>
      <c r="BB117" s="203"/>
      <c r="BC117" s="203"/>
      <c r="BF117" s="203"/>
      <c r="BG117" s="203"/>
      <c r="BH117" s="203"/>
      <c r="BI117" s="203"/>
      <c r="BJ117" s="203"/>
      <c r="BK117" s="212"/>
      <c r="BL117" s="203"/>
    </row>
    <row r="118" spans="43:64" x14ac:dyDescent="0.25">
      <c r="AQ118" s="203"/>
      <c r="AR118" s="203"/>
      <c r="AS118" s="203"/>
      <c r="AT118" s="203"/>
      <c r="AU118" s="203"/>
      <c r="AV118" s="203"/>
      <c r="AW118" s="203"/>
      <c r="AX118" s="203"/>
      <c r="AY118" s="203"/>
      <c r="AZ118" s="203"/>
      <c r="BA118" s="203"/>
      <c r="BB118" s="203"/>
      <c r="BC118" s="203"/>
      <c r="BF118" s="203"/>
      <c r="BG118" s="203"/>
      <c r="BH118" s="203"/>
      <c r="BI118" s="203"/>
      <c r="BJ118" s="203"/>
      <c r="BK118" s="212"/>
      <c r="BL118" s="203"/>
    </row>
    <row r="119" spans="43:64" x14ac:dyDescent="0.25">
      <c r="AQ119" s="203"/>
      <c r="AR119" s="203"/>
      <c r="AS119" s="203"/>
      <c r="AT119" s="203"/>
      <c r="AU119" s="203"/>
      <c r="AV119" s="203"/>
      <c r="AW119" s="203"/>
      <c r="AX119" s="203"/>
      <c r="AY119" s="203"/>
      <c r="AZ119" s="203"/>
      <c r="BA119" s="203"/>
      <c r="BB119" s="203"/>
      <c r="BC119" s="203"/>
      <c r="BF119" s="203"/>
      <c r="BG119" s="203"/>
      <c r="BH119" s="203"/>
      <c r="BI119" s="203"/>
      <c r="BJ119" s="203"/>
      <c r="BK119" s="212"/>
      <c r="BL119" s="203"/>
    </row>
    <row r="120" spans="43:64" x14ac:dyDescent="0.25">
      <c r="AQ120" s="203"/>
      <c r="AR120" s="203"/>
      <c r="AS120" s="203"/>
      <c r="AT120" s="203"/>
      <c r="AU120" s="203"/>
      <c r="AV120" s="203"/>
      <c r="AW120" s="203"/>
      <c r="AX120" s="203"/>
      <c r="AY120" s="203"/>
      <c r="AZ120" s="203"/>
      <c r="BA120" s="203"/>
      <c r="BB120" s="203"/>
      <c r="BC120" s="203"/>
      <c r="BF120" s="203"/>
      <c r="BG120" s="203"/>
      <c r="BH120" s="203"/>
      <c r="BI120" s="203"/>
      <c r="BJ120" s="203"/>
      <c r="BK120" s="212"/>
      <c r="BL120" s="203"/>
    </row>
    <row r="121" spans="43:64" x14ac:dyDescent="0.25">
      <c r="AQ121" s="203"/>
      <c r="AR121" s="203"/>
      <c r="AS121" s="203"/>
      <c r="AT121" s="203"/>
      <c r="AU121" s="203"/>
      <c r="AV121" s="203"/>
      <c r="AW121" s="203"/>
      <c r="AX121" s="203"/>
      <c r="AY121" s="203"/>
      <c r="AZ121" s="203"/>
      <c r="BA121" s="203"/>
      <c r="BB121" s="203"/>
      <c r="BC121" s="203"/>
      <c r="BF121" s="203"/>
      <c r="BG121" s="203"/>
      <c r="BH121" s="203"/>
      <c r="BI121" s="203"/>
      <c r="BJ121" s="203"/>
      <c r="BK121" s="212"/>
      <c r="BL121" s="203"/>
    </row>
    <row r="122" spans="43:64" x14ac:dyDescent="0.25">
      <c r="AQ122" s="203"/>
      <c r="AR122" s="203"/>
      <c r="AS122" s="203"/>
      <c r="AT122" s="203"/>
      <c r="AU122" s="203"/>
      <c r="AV122" s="203"/>
      <c r="AW122" s="203"/>
      <c r="AX122" s="203"/>
      <c r="AY122" s="203"/>
      <c r="AZ122" s="203"/>
      <c r="BA122" s="203"/>
      <c r="BB122" s="203"/>
      <c r="BC122" s="203"/>
      <c r="BF122" s="203"/>
      <c r="BG122" s="203"/>
      <c r="BH122" s="203"/>
      <c r="BI122" s="203"/>
      <c r="BJ122" s="203"/>
      <c r="BK122" s="212"/>
      <c r="BL122" s="203"/>
    </row>
    <row r="123" spans="43:64" x14ac:dyDescent="0.25">
      <c r="AQ123" s="203"/>
      <c r="AR123" s="203"/>
      <c r="AS123" s="203"/>
      <c r="AT123" s="203"/>
      <c r="AU123" s="203"/>
      <c r="AV123" s="203"/>
      <c r="AW123" s="203"/>
      <c r="AX123" s="203"/>
      <c r="AY123" s="203"/>
      <c r="AZ123" s="203"/>
      <c r="BA123" s="203"/>
      <c r="BB123" s="203"/>
      <c r="BC123" s="203"/>
      <c r="BF123" s="203"/>
      <c r="BG123" s="203"/>
      <c r="BH123" s="203"/>
      <c r="BI123" s="203"/>
      <c r="BJ123" s="203"/>
      <c r="BK123" s="212"/>
      <c r="BL123" s="203"/>
    </row>
    <row r="124" spans="43:64" x14ac:dyDescent="0.25">
      <c r="AQ124" s="203"/>
      <c r="AR124" s="203"/>
      <c r="AS124" s="203"/>
      <c r="AT124" s="203"/>
      <c r="AU124" s="203"/>
      <c r="AV124" s="203"/>
      <c r="AW124" s="203"/>
      <c r="AX124" s="203"/>
      <c r="AY124" s="203"/>
      <c r="AZ124" s="203"/>
      <c r="BA124" s="203"/>
      <c r="BB124" s="203"/>
      <c r="BC124" s="203"/>
      <c r="BF124" s="203"/>
      <c r="BG124" s="203"/>
      <c r="BH124" s="203"/>
      <c r="BI124" s="203"/>
      <c r="BJ124" s="203"/>
      <c r="BK124" s="212"/>
      <c r="BL124" s="203"/>
    </row>
    <row r="125" spans="43:64" x14ac:dyDescent="0.25">
      <c r="AQ125" s="203"/>
      <c r="AR125" s="203"/>
      <c r="AS125" s="203"/>
      <c r="AT125" s="203"/>
      <c r="AU125" s="203"/>
      <c r="AV125" s="203"/>
      <c r="AW125" s="203"/>
      <c r="AX125" s="203"/>
      <c r="AY125" s="203"/>
      <c r="AZ125" s="203"/>
      <c r="BA125" s="203"/>
      <c r="BB125" s="203"/>
      <c r="BC125" s="203"/>
      <c r="BF125" s="203"/>
      <c r="BG125" s="203"/>
      <c r="BH125" s="203"/>
      <c r="BI125" s="203"/>
      <c r="BJ125" s="203"/>
      <c r="BK125" s="212"/>
      <c r="BL125" s="203"/>
    </row>
    <row r="126" spans="43:64" x14ac:dyDescent="0.25">
      <c r="AQ126" s="203"/>
      <c r="AR126" s="203"/>
      <c r="AS126" s="203"/>
      <c r="AT126" s="203"/>
      <c r="AU126" s="203"/>
      <c r="AV126" s="203"/>
      <c r="AW126" s="203"/>
      <c r="AX126" s="203"/>
      <c r="AY126" s="203"/>
      <c r="AZ126" s="203"/>
      <c r="BA126" s="203"/>
      <c r="BB126" s="203"/>
      <c r="BC126" s="203"/>
      <c r="BF126" s="203"/>
      <c r="BG126" s="203"/>
      <c r="BH126" s="203"/>
      <c r="BI126" s="203"/>
      <c r="BJ126" s="203"/>
      <c r="BK126" s="212"/>
      <c r="BL126" s="203"/>
    </row>
    <row r="127" spans="43:64" x14ac:dyDescent="0.25">
      <c r="AQ127" s="203"/>
      <c r="AR127" s="203"/>
      <c r="AS127" s="203"/>
      <c r="AT127" s="203"/>
      <c r="AU127" s="203"/>
      <c r="AV127" s="203"/>
      <c r="AW127" s="203"/>
      <c r="AX127" s="203"/>
      <c r="AY127" s="203"/>
      <c r="AZ127" s="203"/>
      <c r="BA127" s="203"/>
      <c r="BB127" s="203"/>
      <c r="BC127" s="203"/>
      <c r="BF127" s="203"/>
      <c r="BG127" s="203"/>
      <c r="BH127" s="203"/>
      <c r="BI127" s="203"/>
      <c r="BJ127" s="203"/>
      <c r="BK127" s="212"/>
      <c r="BL127" s="203"/>
    </row>
    <row r="128" spans="43:64" x14ac:dyDescent="0.25">
      <c r="AQ128" s="203"/>
      <c r="AR128" s="203"/>
      <c r="AS128" s="203"/>
      <c r="AT128" s="203"/>
      <c r="AU128" s="203"/>
      <c r="AV128" s="203"/>
      <c r="AW128" s="203"/>
      <c r="AX128" s="203"/>
      <c r="AY128" s="203"/>
      <c r="AZ128" s="203"/>
      <c r="BA128" s="203"/>
      <c r="BB128" s="203"/>
      <c r="BC128" s="203"/>
      <c r="BF128" s="203"/>
      <c r="BG128" s="203"/>
      <c r="BH128" s="203"/>
      <c r="BI128" s="203"/>
      <c r="BJ128" s="203"/>
      <c r="BK128" s="212"/>
      <c r="BL128" s="203"/>
    </row>
    <row r="129" spans="43:64" x14ac:dyDescent="0.25">
      <c r="AQ129" s="203"/>
      <c r="AR129" s="203"/>
      <c r="AS129" s="203"/>
      <c r="AT129" s="203"/>
      <c r="AU129" s="203"/>
      <c r="AV129" s="203"/>
      <c r="AW129" s="203"/>
      <c r="AX129" s="203"/>
      <c r="AY129" s="203"/>
      <c r="AZ129" s="203"/>
      <c r="BA129" s="203"/>
      <c r="BB129" s="203"/>
      <c r="BC129" s="203"/>
      <c r="BF129" s="203"/>
      <c r="BG129" s="203"/>
      <c r="BH129" s="203"/>
      <c r="BI129" s="203"/>
      <c r="BJ129" s="203"/>
      <c r="BK129" s="212"/>
      <c r="BL129" s="203"/>
    </row>
    <row r="130" spans="43:64" x14ac:dyDescent="0.25">
      <c r="AQ130" s="203"/>
      <c r="AR130" s="203"/>
      <c r="AS130" s="203"/>
      <c r="AT130" s="203"/>
      <c r="AU130" s="203"/>
      <c r="AV130" s="203"/>
      <c r="AW130" s="203"/>
      <c r="AX130" s="203"/>
      <c r="AY130" s="203"/>
      <c r="AZ130" s="203"/>
      <c r="BA130" s="203"/>
      <c r="BB130" s="203"/>
      <c r="BC130" s="203"/>
      <c r="BF130" s="203"/>
      <c r="BG130" s="203"/>
      <c r="BH130" s="203"/>
      <c r="BI130" s="203"/>
      <c r="BJ130" s="203"/>
      <c r="BK130" s="212"/>
      <c r="BL130" s="203"/>
    </row>
    <row r="131" spans="43:64" x14ac:dyDescent="0.25">
      <c r="AQ131" s="203"/>
      <c r="AR131" s="203"/>
      <c r="AS131" s="203"/>
      <c r="AT131" s="203"/>
      <c r="AU131" s="203"/>
      <c r="AV131" s="203"/>
      <c r="AW131" s="203"/>
      <c r="AX131" s="203"/>
      <c r="AY131" s="203"/>
      <c r="AZ131" s="203"/>
      <c r="BA131" s="203"/>
      <c r="BB131" s="203"/>
      <c r="BC131" s="203"/>
      <c r="BF131" s="203"/>
      <c r="BG131" s="203"/>
      <c r="BH131" s="203"/>
      <c r="BI131" s="203"/>
      <c r="BJ131" s="203"/>
      <c r="BK131" s="212"/>
      <c r="BL131" s="203"/>
    </row>
    <row r="132" spans="43:64" x14ac:dyDescent="0.25">
      <c r="AQ132" s="203"/>
      <c r="AR132" s="203"/>
      <c r="AS132" s="203"/>
      <c r="AT132" s="203"/>
      <c r="AU132" s="203"/>
      <c r="AV132" s="203"/>
      <c r="AW132" s="203"/>
      <c r="AX132" s="203"/>
      <c r="AY132" s="203"/>
      <c r="AZ132" s="203"/>
      <c r="BA132" s="203"/>
      <c r="BB132" s="203"/>
      <c r="BC132" s="203"/>
      <c r="BF132" s="203"/>
      <c r="BG132" s="203"/>
      <c r="BH132" s="203"/>
      <c r="BI132" s="203"/>
      <c r="BJ132" s="203"/>
      <c r="BK132" s="212"/>
      <c r="BL132" s="203"/>
    </row>
    <row r="133" spans="43:64" x14ac:dyDescent="0.25">
      <c r="AQ133" s="203"/>
      <c r="AR133" s="203"/>
      <c r="AS133" s="203"/>
      <c r="AT133" s="203"/>
      <c r="AU133" s="203"/>
      <c r="AV133" s="203"/>
      <c r="AW133" s="203"/>
      <c r="AX133" s="203"/>
      <c r="AY133" s="203"/>
      <c r="AZ133" s="203"/>
      <c r="BA133" s="203"/>
      <c r="BB133" s="203"/>
      <c r="BC133" s="203"/>
      <c r="BF133" s="203"/>
      <c r="BG133" s="203"/>
      <c r="BH133" s="203"/>
      <c r="BI133" s="203"/>
      <c r="BJ133" s="203"/>
      <c r="BK133" s="212"/>
      <c r="BL133" s="203"/>
    </row>
    <row r="134" spans="43:64" x14ac:dyDescent="0.25">
      <c r="AQ134" s="203"/>
      <c r="AR134" s="203"/>
      <c r="AS134" s="203"/>
      <c r="AT134" s="203"/>
      <c r="AU134" s="203"/>
      <c r="AV134" s="203"/>
      <c r="AW134" s="203"/>
      <c r="AX134" s="203"/>
      <c r="AY134" s="203"/>
      <c r="AZ134" s="203"/>
      <c r="BA134" s="203"/>
      <c r="BB134" s="203"/>
      <c r="BC134" s="203"/>
      <c r="BF134" s="203"/>
      <c r="BG134" s="203"/>
      <c r="BH134" s="203"/>
      <c r="BI134" s="203"/>
      <c r="BJ134" s="203"/>
      <c r="BK134" s="212"/>
      <c r="BL134" s="203"/>
    </row>
    <row r="135" spans="43:64" x14ac:dyDescent="0.25">
      <c r="AQ135" s="203"/>
      <c r="AR135" s="203"/>
      <c r="AS135" s="203"/>
      <c r="AT135" s="203"/>
      <c r="AU135" s="203"/>
      <c r="AV135" s="203"/>
      <c r="AW135" s="203"/>
      <c r="AX135" s="203"/>
      <c r="AY135" s="203"/>
      <c r="AZ135" s="203"/>
      <c r="BA135" s="203"/>
      <c r="BB135" s="203"/>
      <c r="BC135" s="203"/>
      <c r="BF135" s="203"/>
      <c r="BG135" s="203"/>
      <c r="BH135" s="203"/>
      <c r="BI135" s="203"/>
      <c r="BJ135" s="203"/>
      <c r="BK135" s="212"/>
      <c r="BL135" s="203"/>
    </row>
    <row r="136" spans="43:64" x14ac:dyDescent="0.25">
      <c r="AQ136" s="203"/>
      <c r="AR136" s="203"/>
      <c r="AS136" s="203"/>
      <c r="AT136" s="203"/>
      <c r="AU136" s="203"/>
      <c r="AV136" s="203"/>
      <c r="AW136" s="203"/>
      <c r="AX136" s="203"/>
      <c r="AY136" s="203"/>
      <c r="AZ136" s="203"/>
      <c r="BA136" s="203"/>
      <c r="BB136" s="203"/>
      <c r="BC136" s="203"/>
      <c r="BF136" s="203"/>
      <c r="BG136" s="203"/>
      <c r="BH136" s="203"/>
      <c r="BI136" s="203"/>
      <c r="BJ136" s="203"/>
      <c r="BK136" s="212"/>
      <c r="BL136" s="203"/>
    </row>
    <row r="137" spans="43:64" x14ac:dyDescent="0.25">
      <c r="AQ137" s="203"/>
      <c r="AR137" s="203"/>
      <c r="AS137" s="203"/>
      <c r="AT137" s="203"/>
      <c r="AU137" s="203"/>
      <c r="AV137" s="203"/>
      <c r="AW137" s="203"/>
      <c r="AX137" s="203"/>
      <c r="AY137" s="203"/>
      <c r="AZ137" s="203"/>
      <c r="BA137" s="203"/>
      <c r="BB137" s="203"/>
      <c r="BC137" s="203"/>
      <c r="BF137" s="203"/>
      <c r="BG137" s="203"/>
      <c r="BH137" s="203"/>
      <c r="BI137" s="203"/>
      <c r="BJ137" s="203"/>
      <c r="BK137" s="212"/>
      <c r="BL137" s="203"/>
    </row>
    <row r="138" spans="43:64" x14ac:dyDescent="0.25">
      <c r="AQ138" s="203"/>
      <c r="AR138" s="203"/>
      <c r="AS138" s="203"/>
      <c r="AT138" s="203"/>
      <c r="AU138" s="203"/>
      <c r="AV138" s="203"/>
      <c r="AW138" s="203"/>
      <c r="AX138" s="203"/>
      <c r="AY138" s="203"/>
      <c r="AZ138" s="203"/>
      <c r="BA138" s="203"/>
      <c r="BB138" s="203"/>
      <c r="BC138" s="203"/>
      <c r="BF138" s="203"/>
      <c r="BG138" s="203"/>
      <c r="BH138" s="203"/>
      <c r="BI138" s="203"/>
      <c r="BJ138" s="203"/>
      <c r="BK138" s="212"/>
      <c r="BL138" s="203"/>
    </row>
    <row r="139" spans="43:64" x14ac:dyDescent="0.25">
      <c r="AQ139" s="203"/>
      <c r="AR139" s="203"/>
      <c r="AS139" s="203"/>
      <c r="AT139" s="203"/>
      <c r="AU139" s="203"/>
      <c r="AV139" s="203"/>
      <c r="AW139" s="203"/>
      <c r="AX139" s="203"/>
      <c r="AY139" s="203"/>
      <c r="AZ139" s="203"/>
      <c r="BA139" s="203"/>
      <c r="BB139" s="203"/>
      <c r="BC139" s="203"/>
      <c r="BF139" s="203"/>
      <c r="BG139" s="203"/>
      <c r="BH139" s="203"/>
      <c r="BI139" s="203"/>
      <c r="BJ139" s="203"/>
      <c r="BK139" s="212"/>
      <c r="BL139" s="203"/>
    </row>
    <row r="140" spans="43:64" x14ac:dyDescent="0.25">
      <c r="AQ140" s="203"/>
      <c r="AR140" s="203"/>
      <c r="AS140" s="203"/>
      <c r="AT140" s="203"/>
      <c r="AU140" s="203"/>
      <c r="AV140" s="203"/>
      <c r="AW140" s="203"/>
      <c r="AX140" s="203"/>
      <c r="AY140" s="203"/>
      <c r="AZ140" s="203"/>
      <c r="BA140" s="203"/>
      <c r="BB140" s="203"/>
      <c r="BC140" s="203"/>
      <c r="BF140" s="203"/>
      <c r="BG140" s="203"/>
      <c r="BH140" s="203"/>
      <c r="BI140" s="203"/>
      <c r="BJ140" s="203"/>
      <c r="BK140" s="212"/>
      <c r="BL140" s="203"/>
    </row>
    <row r="141" spans="43:64" x14ac:dyDescent="0.25">
      <c r="AQ141" s="203"/>
      <c r="AR141" s="203"/>
      <c r="AS141" s="203"/>
      <c r="AT141" s="203"/>
      <c r="AU141" s="203"/>
      <c r="AV141" s="203"/>
      <c r="AW141" s="203"/>
      <c r="AX141" s="203"/>
      <c r="AY141" s="203"/>
      <c r="AZ141" s="203"/>
      <c r="BA141" s="203"/>
      <c r="BB141" s="203"/>
      <c r="BC141" s="203"/>
      <c r="BF141" s="203"/>
      <c r="BG141" s="203"/>
      <c r="BH141" s="203"/>
      <c r="BI141" s="203"/>
      <c r="BJ141" s="203"/>
      <c r="BK141" s="212"/>
      <c r="BL141" s="203"/>
    </row>
    <row r="142" spans="43:64" x14ac:dyDescent="0.25">
      <c r="AQ142" s="203"/>
      <c r="AR142" s="203"/>
      <c r="AS142" s="203"/>
      <c r="AT142" s="203"/>
      <c r="AU142" s="203"/>
      <c r="AV142" s="203"/>
      <c r="AW142" s="203"/>
      <c r="AX142" s="203"/>
      <c r="AY142" s="203"/>
      <c r="AZ142" s="203"/>
      <c r="BA142" s="203"/>
      <c r="BB142" s="203"/>
      <c r="BC142" s="203"/>
      <c r="BF142" s="203"/>
      <c r="BG142" s="203"/>
      <c r="BH142" s="203"/>
      <c r="BI142" s="203"/>
      <c r="BJ142" s="203"/>
      <c r="BK142" s="212"/>
      <c r="BL142" s="203"/>
    </row>
    <row r="143" spans="43:64" x14ac:dyDescent="0.25">
      <c r="AQ143" s="203"/>
      <c r="AR143" s="203"/>
      <c r="AS143" s="203"/>
      <c r="AT143" s="203"/>
      <c r="AU143" s="203"/>
      <c r="AV143" s="203"/>
      <c r="AW143" s="203"/>
      <c r="AX143" s="203"/>
      <c r="AY143" s="203"/>
      <c r="AZ143" s="203"/>
      <c r="BA143" s="203"/>
      <c r="BB143" s="203"/>
      <c r="BC143" s="203"/>
      <c r="BF143" s="203"/>
      <c r="BG143" s="203"/>
      <c r="BH143" s="203"/>
      <c r="BI143" s="203"/>
      <c r="BJ143" s="203"/>
      <c r="BK143" s="212"/>
      <c r="BL143" s="203"/>
    </row>
    <row r="144" spans="43:64" x14ac:dyDescent="0.25">
      <c r="AQ144" s="203"/>
      <c r="AR144" s="203"/>
      <c r="AS144" s="203"/>
      <c r="AT144" s="203"/>
      <c r="AU144" s="203"/>
      <c r="AV144" s="203"/>
      <c r="AW144" s="203"/>
      <c r="AX144" s="203"/>
      <c r="AY144" s="203"/>
      <c r="AZ144" s="203"/>
      <c r="BA144" s="203"/>
      <c r="BB144" s="203"/>
      <c r="BC144" s="203"/>
      <c r="BF144" s="203"/>
      <c r="BG144" s="203"/>
      <c r="BH144" s="203"/>
      <c r="BI144" s="203"/>
      <c r="BJ144" s="203"/>
      <c r="BL144" s="203"/>
    </row>
    <row r="145" spans="43:64" x14ac:dyDescent="0.25">
      <c r="AQ145" s="203"/>
      <c r="AR145" s="203"/>
      <c r="AS145" s="203"/>
      <c r="AT145" s="203"/>
      <c r="AU145" s="203"/>
      <c r="AV145" s="203"/>
      <c r="AW145" s="203"/>
      <c r="AX145" s="203"/>
      <c r="AY145" s="203"/>
      <c r="AZ145" s="203"/>
      <c r="BA145" s="203"/>
      <c r="BB145" s="203"/>
      <c r="BC145" s="203"/>
      <c r="BF145" s="203"/>
      <c r="BG145" s="203"/>
      <c r="BH145" s="203"/>
      <c r="BI145" s="203"/>
      <c r="BJ145" s="203"/>
      <c r="BL145" s="203"/>
    </row>
    <row r="146" spans="43:64" x14ac:dyDescent="0.25">
      <c r="AQ146" s="203"/>
      <c r="AR146" s="203"/>
      <c r="AS146" s="203"/>
      <c r="AT146" s="203"/>
      <c r="AU146" s="203"/>
      <c r="AV146" s="203"/>
      <c r="AW146" s="203"/>
      <c r="AX146" s="203"/>
      <c r="AY146" s="203"/>
      <c r="AZ146" s="203"/>
      <c r="BA146" s="203"/>
      <c r="BB146" s="203"/>
      <c r="BC146" s="203"/>
      <c r="BF146" s="203"/>
      <c r="BG146" s="203"/>
      <c r="BH146" s="203"/>
      <c r="BI146" s="203"/>
      <c r="BJ146" s="203"/>
      <c r="BL146" s="203"/>
    </row>
    <row r="147" spans="43:64" x14ac:dyDescent="0.25">
      <c r="AQ147" s="203"/>
      <c r="AR147" s="203"/>
      <c r="AS147" s="203"/>
      <c r="AT147" s="203"/>
      <c r="AU147" s="203"/>
      <c r="AV147" s="203"/>
      <c r="AW147" s="203"/>
      <c r="AX147" s="203"/>
      <c r="AY147" s="203"/>
      <c r="AZ147" s="203"/>
      <c r="BA147" s="203"/>
      <c r="BB147" s="203"/>
      <c r="BC147" s="203"/>
      <c r="BF147" s="203"/>
      <c r="BG147" s="203"/>
      <c r="BH147" s="203"/>
      <c r="BI147" s="203"/>
      <c r="BJ147" s="203"/>
      <c r="BL147" s="203"/>
    </row>
    <row r="148" spans="43:64" x14ac:dyDescent="0.25">
      <c r="AQ148" s="203"/>
      <c r="AR148" s="203"/>
      <c r="AS148" s="203"/>
      <c r="AT148" s="203"/>
      <c r="AU148" s="203"/>
      <c r="AV148" s="203"/>
      <c r="AW148" s="203"/>
      <c r="AX148" s="203"/>
      <c r="AY148" s="203"/>
      <c r="AZ148" s="203"/>
      <c r="BA148" s="203"/>
      <c r="BB148" s="203"/>
      <c r="BC148" s="203"/>
      <c r="BF148" s="203"/>
      <c r="BG148" s="203"/>
      <c r="BH148" s="203"/>
      <c r="BI148" s="203"/>
      <c r="BJ148" s="203"/>
      <c r="BL148" s="203"/>
    </row>
    <row r="149" spans="43:64" x14ac:dyDescent="0.25">
      <c r="AQ149" s="203"/>
      <c r="AR149" s="203"/>
      <c r="AS149" s="203"/>
      <c r="AT149" s="203"/>
      <c r="AU149" s="203"/>
      <c r="AV149" s="203"/>
      <c r="AW149" s="203"/>
      <c r="AX149" s="203"/>
      <c r="AY149" s="203"/>
      <c r="AZ149" s="203"/>
      <c r="BA149" s="203"/>
      <c r="BB149" s="203"/>
      <c r="BC149" s="203"/>
      <c r="BF149" s="203"/>
      <c r="BG149" s="203"/>
      <c r="BH149" s="203"/>
      <c r="BI149" s="203"/>
      <c r="BJ149" s="203"/>
      <c r="BL149" s="203"/>
    </row>
    <row r="150" spans="43:64" x14ac:dyDescent="0.25">
      <c r="AQ150" s="203"/>
      <c r="AR150" s="203"/>
      <c r="AS150" s="203"/>
      <c r="AT150" s="203"/>
      <c r="AU150" s="203"/>
      <c r="AV150" s="203"/>
      <c r="AW150" s="203"/>
      <c r="AX150" s="203"/>
      <c r="AY150" s="203"/>
      <c r="AZ150" s="203"/>
      <c r="BA150" s="203"/>
      <c r="BB150" s="203"/>
      <c r="BC150" s="203"/>
      <c r="BF150" s="203"/>
      <c r="BG150" s="203"/>
      <c r="BH150" s="203"/>
      <c r="BI150" s="203"/>
      <c r="BJ150" s="203"/>
      <c r="BL150" s="203"/>
    </row>
    <row r="151" spans="43:64" x14ac:dyDescent="0.25">
      <c r="AQ151" s="203"/>
      <c r="AR151" s="203"/>
      <c r="AS151" s="203"/>
      <c r="AT151" s="203"/>
      <c r="AU151" s="203"/>
      <c r="AV151" s="203"/>
      <c r="AW151" s="203"/>
      <c r="AX151" s="203"/>
      <c r="AY151" s="203"/>
      <c r="AZ151" s="203"/>
      <c r="BA151" s="203"/>
      <c r="BB151" s="203"/>
      <c r="BC151" s="203"/>
      <c r="BF151" s="203"/>
      <c r="BG151" s="203"/>
      <c r="BH151" s="203"/>
      <c r="BI151" s="203"/>
      <c r="BJ151" s="203"/>
      <c r="BL151" s="203"/>
    </row>
    <row r="152" spans="43:64" x14ac:dyDescent="0.25">
      <c r="AQ152" s="203"/>
      <c r="AR152" s="203"/>
      <c r="AS152" s="203"/>
      <c r="AT152" s="203"/>
      <c r="AU152" s="203"/>
      <c r="AV152" s="203"/>
      <c r="AW152" s="203"/>
      <c r="AX152" s="203"/>
      <c r="AY152" s="203"/>
      <c r="AZ152" s="203"/>
      <c r="BA152" s="203"/>
      <c r="BB152" s="203"/>
      <c r="BC152" s="203"/>
      <c r="BF152" s="203"/>
      <c r="BG152" s="203"/>
      <c r="BH152" s="203"/>
      <c r="BI152" s="203"/>
      <c r="BJ152" s="203"/>
      <c r="BL152" s="203"/>
    </row>
    <row r="153" spans="43:64" x14ac:dyDescent="0.25">
      <c r="AQ153" s="203"/>
      <c r="AR153" s="203"/>
      <c r="AS153" s="203"/>
      <c r="AT153" s="203"/>
      <c r="AU153" s="203"/>
      <c r="AV153" s="203"/>
      <c r="AW153" s="203"/>
      <c r="AX153" s="203"/>
      <c r="AY153" s="203"/>
      <c r="AZ153" s="203"/>
      <c r="BA153" s="203"/>
      <c r="BB153" s="203"/>
      <c r="BC153" s="203"/>
      <c r="BF153" s="203"/>
      <c r="BG153" s="203"/>
      <c r="BH153" s="203"/>
      <c r="BI153" s="203"/>
      <c r="BJ153" s="203"/>
      <c r="BL153" s="203"/>
    </row>
    <row r="154" spans="43:64" x14ac:dyDescent="0.25">
      <c r="AQ154" s="203"/>
      <c r="AR154" s="203"/>
      <c r="AS154" s="203"/>
      <c r="AT154" s="203"/>
      <c r="AU154" s="203"/>
      <c r="AV154" s="203"/>
      <c r="AW154" s="203"/>
      <c r="AX154" s="203"/>
      <c r="AY154" s="203"/>
      <c r="AZ154" s="203"/>
      <c r="BA154" s="203"/>
      <c r="BB154" s="203"/>
      <c r="BC154" s="203"/>
      <c r="BF154" s="203"/>
      <c r="BG154" s="203"/>
      <c r="BH154" s="203"/>
      <c r="BI154" s="203"/>
      <c r="BJ154" s="203"/>
      <c r="BL154" s="203"/>
    </row>
    <row r="155" spans="43:64" x14ac:dyDescent="0.25">
      <c r="AQ155" s="203"/>
      <c r="AR155" s="203"/>
      <c r="AS155" s="203"/>
      <c r="AT155" s="203"/>
      <c r="AU155" s="203"/>
      <c r="AV155" s="203"/>
      <c r="AW155" s="203"/>
      <c r="AX155" s="203"/>
      <c r="AY155" s="203"/>
      <c r="AZ155" s="203"/>
      <c r="BA155" s="203"/>
      <c r="BB155" s="203"/>
      <c r="BC155" s="203"/>
      <c r="BF155" s="203"/>
      <c r="BG155" s="203"/>
      <c r="BH155" s="203"/>
      <c r="BI155" s="203"/>
      <c r="BJ155" s="203"/>
      <c r="BL155" s="203"/>
    </row>
    <row r="156" spans="43:64" x14ac:dyDescent="0.25">
      <c r="AQ156" s="203"/>
      <c r="AR156" s="203"/>
      <c r="AS156" s="203"/>
      <c r="AT156" s="203"/>
      <c r="AU156" s="203"/>
      <c r="AV156" s="203"/>
      <c r="AW156" s="203"/>
      <c r="AX156" s="203"/>
      <c r="AY156" s="203"/>
      <c r="AZ156" s="203"/>
      <c r="BA156" s="203"/>
      <c r="BB156" s="203"/>
      <c r="BC156" s="203"/>
      <c r="BF156" s="203"/>
      <c r="BG156" s="203"/>
      <c r="BH156" s="203"/>
      <c r="BI156" s="203"/>
      <c r="BJ156" s="203"/>
      <c r="BL156" s="203"/>
    </row>
    <row r="157" spans="43:64" x14ac:dyDescent="0.25">
      <c r="AQ157" s="203"/>
      <c r="AR157" s="203"/>
      <c r="AS157" s="203"/>
      <c r="AT157" s="203"/>
      <c r="AU157" s="203"/>
      <c r="AV157" s="203"/>
      <c r="AW157" s="203"/>
      <c r="AX157" s="203"/>
      <c r="AY157" s="203"/>
      <c r="AZ157" s="203"/>
      <c r="BA157" s="203"/>
      <c r="BB157" s="203"/>
      <c r="BC157" s="203"/>
      <c r="BF157" s="203"/>
      <c r="BG157" s="203"/>
      <c r="BH157" s="203"/>
      <c r="BI157" s="203"/>
      <c r="BJ157" s="203"/>
      <c r="BL157" s="203"/>
    </row>
    <row r="158" spans="43:64" x14ac:dyDescent="0.25">
      <c r="AQ158" s="203"/>
      <c r="AR158" s="203"/>
      <c r="AS158" s="203"/>
      <c r="AT158" s="203"/>
      <c r="AU158" s="203"/>
      <c r="AV158" s="203"/>
      <c r="AW158" s="203"/>
      <c r="AX158" s="203"/>
      <c r="AY158" s="203"/>
      <c r="AZ158" s="203"/>
      <c r="BA158" s="203"/>
      <c r="BB158" s="203"/>
      <c r="BC158" s="203"/>
      <c r="BF158" s="203"/>
      <c r="BG158" s="203"/>
      <c r="BH158" s="203"/>
      <c r="BI158" s="203"/>
      <c r="BJ158" s="203"/>
      <c r="BL158" s="203"/>
    </row>
    <row r="159" spans="43:64" x14ac:dyDescent="0.25">
      <c r="AQ159" s="203"/>
      <c r="AR159" s="203"/>
      <c r="AS159" s="203"/>
      <c r="AT159" s="203"/>
      <c r="AU159" s="203"/>
      <c r="AV159" s="203"/>
      <c r="AW159" s="203"/>
      <c r="AX159" s="203"/>
      <c r="AY159" s="203"/>
      <c r="AZ159" s="203"/>
      <c r="BA159" s="203"/>
      <c r="BB159" s="203"/>
      <c r="BC159" s="203"/>
      <c r="BF159" s="203"/>
      <c r="BG159" s="203"/>
      <c r="BH159" s="203"/>
      <c r="BI159" s="203"/>
      <c r="BJ159" s="203"/>
      <c r="BL159" s="203"/>
    </row>
    <row r="160" spans="43:64" x14ac:dyDescent="0.25">
      <c r="AQ160" s="203"/>
      <c r="AR160" s="203"/>
      <c r="AS160" s="203"/>
      <c r="AT160" s="203"/>
      <c r="AU160" s="203"/>
      <c r="AV160" s="203"/>
      <c r="AW160" s="203"/>
      <c r="AX160" s="203"/>
      <c r="AY160" s="203"/>
      <c r="AZ160" s="203"/>
      <c r="BA160" s="203"/>
      <c r="BB160" s="203"/>
      <c r="BC160" s="203"/>
      <c r="BF160" s="203"/>
      <c r="BG160" s="203"/>
      <c r="BH160" s="203"/>
      <c r="BI160" s="203"/>
      <c r="BJ160" s="203"/>
      <c r="BL160" s="203"/>
    </row>
    <row r="161" spans="43:64" x14ac:dyDescent="0.25">
      <c r="AQ161" s="203"/>
      <c r="AR161" s="203"/>
      <c r="AS161" s="203"/>
      <c r="AT161" s="203"/>
      <c r="AU161" s="203"/>
      <c r="AV161" s="203"/>
      <c r="AW161" s="203"/>
      <c r="AX161" s="203"/>
      <c r="AY161" s="203"/>
      <c r="AZ161" s="203"/>
      <c r="BA161" s="203"/>
      <c r="BB161" s="203"/>
      <c r="BC161" s="203"/>
      <c r="BF161" s="203"/>
      <c r="BG161" s="203"/>
      <c r="BH161" s="203"/>
      <c r="BI161" s="203"/>
      <c r="BJ161" s="203"/>
      <c r="BL161" s="203"/>
    </row>
    <row r="162" spans="43:64" x14ac:dyDescent="0.25">
      <c r="AQ162" s="203"/>
      <c r="AR162" s="203"/>
      <c r="AS162" s="203"/>
      <c r="AT162" s="203"/>
      <c r="AU162" s="203"/>
      <c r="AV162" s="203"/>
      <c r="AW162" s="203"/>
      <c r="AX162" s="203"/>
      <c r="AY162" s="203"/>
      <c r="AZ162" s="203"/>
      <c r="BA162" s="203"/>
      <c r="BB162" s="203"/>
      <c r="BC162" s="203"/>
      <c r="BF162" s="203"/>
      <c r="BG162" s="203"/>
      <c r="BH162" s="203"/>
      <c r="BI162" s="203"/>
      <c r="BJ162" s="203"/>
      <c r="BL162" s="203"/>
    </row>
    <row r="163" spans="43:64" x14ac:dyDescent="0.25">
      <c r="AQ163" s="203"/>
      <c r="AR163" s="203"/>
      <c r="AS163" s="203"/>
      <c r="AT163" s="203"/>
      <c r="AU163" s="203"/>
      <c r="AV163" s="203"/>
      <c r="AW163" s="203"/>
      <c r="AX163" s="203"/>
      <c r="AY163" s="203"/>
      <c r="AZ163" s="203"/>
      <c r="BA163" s="203"/>
      <c r="BB163" s="203"/>
      <c r="BC163" s="203"/>
      <c r="BF163" s="203"/>
      <c r="BG163" s="203"/>
      <c r="BH163" s="203"/>
      <c r="BI163" s="203"/>
      <c r="BJ163" s="203"/>
      <c r="BL163" s="203"/>
    </row>
    <row r="164" spans="43:64" x14ac:dyDescent="0.25">
      <c r="AQ164" s="203"/>
      <c r="AR164" s="203"/>
      <c r="AS164" s="203"/>
      <c r="AT164" s="203"/>
      <c r="AU164" s="203"/>
      <c r="AV164" s="203"/>
      <c r="AW164" s="203"/>
      <c r="AX164" s="203"/>
      <c r="AY164" s="203"/>
      <c r="AZ164" s="203"/>
      <c r="BA164" s="203"/>
      <c r="BB164" s="203"/>
      <c r="BC164" s="203"/>
      <c r="BF164" s="203"/>
      <c r="BG164" s="203"/>
      <c r="BH164" s="203"/>
      <c r="BI164" s="203"/>
      <c r="BJ164" s="203"/>
      <c r="BL164" s="203"/>
    </row>
    <row r="165" spans="43:64" x14ac:dyDescent="0.25">
      <c r="AQ165" s="203"/>
      <c r="AR165" s="203"/>
      <c r="AS165" s="203"/>
      <c r="AT165" s="203"/>
      <c r="AU165" s="203"/>
      <c r="AV165" s="203"/>
      <c r="AW165" s="203"/>
      <c r="AX165" s="203"/>
      <c r="AY165" s="203"/>
      <c r="AZ165" s="203"/>
      <c r="BA165" s="203"/>
      <c r="BB165" s="203"/>
      <c r="BC165" s="203"/>
      <c r="BF165" s="203"/>
      <c r="BG165" s="203"/>
      <c r="BH165" s="203"/>
      <c r="BI165" s="203"/>
      <c r="BJ165" s="203"/>
      <c r="BL165" s="203"/>
    </row>
    <row r="166" spans="43:64" x14ac:dyDescent="0.25">
      <c r="AQ166" s="203"/>
      <c r="AR166" s="203"/>
      <c r="AS166" s="203"/>
      <c r="AT166" s="203"/>
      <c r="AU166" s="203"/>
      <c r="AV166" s="203"/>
      <c r="AW166" s="203"/>
      <c r="AX166" s="203"/>
      <c r="AY166" s="203"/>
      <c r="AZ166" s="203"/>
      <c r="BA166" s="203"/>
      <c r="BB166" s="203"/>
      <c r="BC166" s="203"/>
      <c r="BF166" s="203"/>
      <c r="BG166" s="203"/>
      <c r="BH166" s="203"/>
      <c r="BI166" s="203"/>
      <c r="BJ166" s="203"/>
      <c r="BL166" s="203"/>
    </row>
    <row r="167" spans="43:64" x14ac:dyDescent="0.25">
      <c r="AQ167" s="203"/>
      <c r="AR167" s="203"/>
      <c r="AS167" s="203"/>
      <c r="AT167" s="203"/>
      <c r="AU167" s="203"/>
      <c r="AV167" s="203"/>
      <c r="AW167" s="203"/>
      <c r="AX167" s="203"/>
      <c r="AY167" s="203"/>
      <c r="AZ167" s="203"/>
      <c r="BA167" s="203"/>
      <c r="BB167" s="203"/>
      <c r="BC167" s="203"/>
      <c r="BF167" s="203"/>
      <c r="BG167" s="203"/>
      <c r="BH167" s="203"/>
      <c r="BI167" s="203"/>
      <c r="BJ167" s="203"/>
      <c r="BL167" s="203"/>
    </row>
    <row r="168" spans="43:64" x14ac:dyDescent="0.25">
      <c r="AQ168" s="203"/>
      <c r="AR168" s="203"/>
      <c r="AS168" s="203"/>
      <c r="AT168" s="203"/>
      <c r="AU168" s="203"/>
      <c r="AV168" s="203"/>
      <c r="AW168" s="203"/>
      <c r="AX168" s="203"/>
      <c r="AY168" s="203"/>
      <c r="AZ168" s="203"/>
      <c r="BA168" s="203"/>
      <c r="BB168" s="203"/>
      <c r="BC168" s="203"/>
      <c r="BF168" s="203"/>
      <c r="BG168" s="203"/>
      <c r="BH168" s="203"/>
      <c r="BI168" s="203"/>
      <c r="BJ168" s="203"/>
      <c r="BL168" s="203"/>
    </row>
    <row r="169" spans="43:64" x14ac:dyDescent="0.25">
      <c r="AQ169" s="203"/>
      <c r="AR169" s="203"/>
      <c r="AS169" s="203"/>
      <c r="AT169" s="203"/>
      <c r="AU169" s="203"/>
      <c r="AV169" s="203"/>
      <c r="AW169" s="203"/>
      <c r="AX169" s="203"/>
      <c r="AY169" s="203"/>
      <c r="AZ169" s="203"/>
      <c r="BA169" s="203"/>
      <c r="BB169" s="203"/>
      <c r="BC169" s="203"/>
      <c r="BF169" s="203"/>
      <c r="BG169" s="203"/>
      <c r="BH169" s="203"/>
      <c r="BI169" s="203"/>
      <c r="BJ169" s="203"/>
      <c r="BL169" s="203"/>
    </row>
    <row r="170" spans="43:64" x14ac:dyDescent="0.25">
      <c r="AQ170" s="203"/>
      <c r="AR170" s="203"/>
      <c r="AS170" s="203"/>
      <c r="AT170" s="203"/>
      <c r="AU170" s="203"/>
      <c r="AV170" s="203"/>
      <c r="AW170" s="203"/>
      <c r="AX170" s="203"/>
      <c r="AY170" s="203"/>
      <c r="AZ170" s="203"/>
      <c r="BA170" s="203"/>
      <c r="BB170" s="203"/>
      <c r="BC170" s="203"/>
      <c r="BF170" s="203"/>
      <c r="BG170" s="203"/>
      <c r="BH170" s="203"/>
      <c r="BI170" s="203"/>
      <c r="BJ170" s="203"/>
      <c r="BL170" s="203"/>
    </row>
    <row r="171" spans="43:64" x14ac:dyDescent="0.25">
      <c r="AQ171" s="203"/>
      <c r="AR171" s="203"/>
      <c r="AS171" s="203"/>
      <c r="AT171" s="203"/>
      <c r="AU171" s="203"/>
      <c r="AV171" s="203"/>
      <c r="AW171" s="203"/>
      <c r="AX171" s="203"/>
      <c r="AY171" s="203"/>
      <c r="AZ171" s="203"/>
      <c r="BA171" s="203"/>
      <c r="BB171" s="203"/>
      <c r="BC171" s="203"/>
      <c r="BF171" s="203"/>
      <c r="BG171" s="203"/>
      <c r="BH171" s="203"/>
      <c r="BI171" s="203"/>
      <c r="BJ171" s="203"/>
      <c r="BL171" s="203"/>
    </row>
    <row r="172" spans="43:64" x14ac:dyDescent="0.25">
      <c r="AQ172" s="203"/>
      <c r="AR172" s="203"/>
      <c r="AS172" s="203"/>
      <c r="AT172" s="203"/>
      <c r="AU172" s="203"/>
      <c r="AV172" s="203"/>
      <c r="AW172" s="203"/>
      <c r="AX172" s="203"/>
      <c r="AY172" s="203"/>
      <c r="AZ172" s="203"/>
      <c r="BA172" s="203"/>
      <c r="BB172" s="203"/>
      <c r="BC172" s="203"/>
      <c r="BF172" s="203"/>
      <c r="BG172" s="203"/>
      <c r="BH172" s="203"/>
      <c r="BI172" s="203"/>
      <c r="BJ172" s="203"/>
      <c r="BL172" s="203"/>
    </row>
    <row r="173" spans="43:64" x14ac:dyDescent="0.25">
      <c r="AQ173" s="203"/>
      <c r="AR173" s="203"/>
      <c r="AS173" s="203"/>
      <c r="AT173" s="203"/>
      <c r="AU173" s="203"/>
      <c r="AV173" s="203"/>
      <c r="AW173" s="203"/>
      <c r="AX173" s="203"/>
      <c r="AY173" s="203"/>
      <c r="AZ173" s="203"/>
      <c r="BA173" s="203"/>
      <c r="BB173" s="203"/>
      <c r="BC173" s="203"/>
      <c r="BF173" s="203"/>
      <c r="BG173" s="203"/>
      <c r="BH173" s="203"/>
      <c r="BI173" s="203"/>
      <c r="BJ173" s="203"/>
      <c r="BL173" s="203"/>
    </row>
    <row r="174" spans="43:64" x14ac:dyDescent="0.25">
      <c r="AQ174" s="203"/>
      <c r="AR174" s="203"/>
      <c r="AS174" s="203"/>
      <c r="AT174" s="203"/>
      <c r="AU174" s="203"/>
      <c r="AV174" s="203"/>
      <c r="AW174" s="203"/>
      <c r="AX174" s="203"/>
      <c r="AY174" s="203"/>
      <c r="AZ174" s="203"/>
      <c r="BA174" s="203"/>
      <c r="BB174" s="203"/>
      <c r="BC174" s="203"/>
      <c r="BF174" s="203"/>
      <c r="BG174" s="203"/>
      <c r="BH174" s="203"/>
      <c r="BI174" s="203"/>
      <c r="BJ174" s="203"/>
      <c r="BL174" s="203"/>
    </row>
    <row r="175" spans="43:64" x14ac:dyDescent="0.25">
      <c r="AQ175" s="203"/>
      <c r="AR175" s="203"/>
      <c r="AS175" s="203"/>
      <c r="AT175" s="203"/>
      <c r="AU175" s="203"/>
      <c r="AV175" s="203"/>
      <c r="AW175" s="203"/>
      <c r="AX175" s="203"/>
      <c r="AY175" s="203"/>
      <c r="AZ175" s="203"/>
      <c r="BA175" s="203"/>
      <c r="BB175" s="203"/>
      <c r="BC175" s="203"/>
      <c r="BF175" s="203"/>
      <c r="BG175" s="203"/>
      <c r="BH175" s="203"/>
      <c r="BI175" s="203"/>
      <c r="BJ175" s="203"/>
      <c r="BL175" s="203"/>
    </row>
    <row r="176" spans="43:64" x14ac:dyDescent="0.25">
      <c r="AQ176" s="203"/>
      <c r="AR176" s="203"/>
      <c r="AS176" s="203"/>
      <c r="AT176" s="203"/>
      <c r="AU176" s="203"/>
      <c r="AV176" s="203"/>
      <c r="AW176" s="203"/>
      <c r="AX176" s="203"/>
      <c r="AY176" s="203"/>
      <c r="AZ176" s="203"/>
      <c r="BA176" s="203"/>
      <c r="BB176" s="203"/>
      <c r="BC176" s="203"/>
      <c r="BF176" s="203"/>
      <c r="BG176" s="203"/>
      <c r="BH176" s="203"/>
      <c r="BI176" s="203"/>
      <c r="BJ176" s="203"/>
      <c r="BL176" s="203"/>
    </row>
    <row r="177" spans="43:64" x14ac:dyDescent="0.25">
      <c r="AQ177" s="203"/>
      <c r="AR177" s="203"/>
      <c r="AS177" s="203"/>
      <c r="AT177" s="203"/>
      <c r="AU177" s="203"/>
      <c r="AV177" s="203"/>
      <c r="AW177" s="203"/>
      <c r="AX177" s="203"/>
      <c r="AY177" s="203"/>
      <c r="AZ177" s="203"/>
      <c r="BA177" s="203"/>
      <c r="BB177" s="203"/>
      <c r="BC177" s="203"/>
      <c r="BF177" s="203"/>
      <c r="BG177" s="203"/>
      <c r="BH177" s="203"/>
      <c r="BI177" s="203"/>
      <c r="BJ177" s="203"/>
      <c r="BL177" s="203"/>
    </row>
    <row r="178" spans="43:64" x14ac:dyDescent="0.25">
      <c r="AQ178" s="203"/>
      <c r="AR178" s="203"/>
      <c r="AS178" s="203"/>
      <c r="AT178" s="203"/>
      <c r="AU178" s="203"/>
      <c r="AV178" s="203"/>
      <c r="AW178" s="203"/>
      <c r="AX178" s="203"/>
      <c r="AY178" s="203"/>
      <c r="AZ178" s="203"/>
      <c r="BA178" s="203"/>
      <c r="BB178" s="203"/>
      <c r="BC178" s="203"/>
      <c r="BF178" s="203"/>
      <c r="BG178" s="203"/>
      <c r="BH178" s="203"/>
      <c r="BI178" s="203"/>
      <c r="BJ178" s="203"/>
      <c r="BL178" s="203"/>
    </row>
    <row r="179" spans="43:64" x14ac:dyDescent="0.25">
      <c r="AQ179" s="203"/>
      <c r="AR179" s="203"/>
      <c r="AS179" s="203"/>
      <c r="AT179" s="203"/>
      <c r="AU179" s="203"/>
      <c r="AV179" s="203"/>
      <c r="AW179" s="203"/>
      <c r="AX179" s="203"/>
      <c r="AY179" s="203"/>
      <c r="AZ179" s="203"/>
      <c r="BA179" s="203"/>
      <c r="BB179" s="203"/>
      <c r="BC179" s="203"/>
      <c r="BF179" s="203"/>
      <c r="BG179" s="203"/>
      <c r="BH179" s="203"/>
      <c r="BI179" s="203"/>
      <c r="BJ179" s="203"/>
      <c r="BL179" s="203"/>
    </row>
    <row r="180" spans="43:64" x14ac:dyDescent="0.25">
      <c r="AQ180" s="203"/>
      <c r="AR180" s="203"/>
      <c r="AS180" s="203"/>
      <c r="AT180" s="203"/>
      <c r="AU180" s="203"/>
      <c r="AV180" s="203"/>
      <c r="AW180" s="203"/>
      <c r="AX180" s="203"/>
      <c r="AY180" s="203"/>
      <c r="AZ180" s="203"/>
      <c r="BA180" s="203"/>
      <c r="BB180" s="203"/>
      <c r="BC180" s="203"/>
      <c r="BF180" s="203"/>
      <c r="BG180" s="203"/>
      <c r="BH180" s="203"/>
      <c r="BI180" s="203"/>
      <c r="BJ180" s="203"/>
      <c r="BL180" s="203"/>
    </row>
    <row r="181" spans="43:64" x14ac:dyDescent="0.25">
      <c r="AQ181" s="203"/>
      <c r="AR181" s="203"/>
      <c r="AS181" s="203"/>
      <c r="AT181" s="203"/>
      <c r="AU181" s="203"/>
      <c r="AV181" s="203"/>
      <c r="AW181" s="203"/>
      <c r="AX181" s="203"/>
      <c r="AY181" s="203"/>
      <c r="AZ181" s="203"/>
      <c r="BA181" s="203"/>
      <c r="BB181" s="203"/>
      <c r="BC181" s="203"/>
      <c r="BF181" s="203"/>
      <c r="BG181" s="203"/>
      <c r="BH181" s="203"/>
      <c r="BI181" s="203"/>
      <c r="BJ181" s="203"/>
      <c r="BL181" s="203"/>
    </row>
    <row r="182" spans="43:64" x14ac:dyDescent="0.25">
      <c r="AQ182" s="203"/>
      <c r="AR182" s="203"/>
      <c r="AS182" s="203"/>
      <c r="AT182" s="203"/>
      <c r="AU182" s="203"/>
      <c r="AV182" s="203"/>
      <c r="AW182" s="203"/>
      <c r="AX182" s="203"/>
      <c r="AY182" s="203"/>
      <c r="AZ182" s="203"/>
      <c r="BA182" s="203"/>
      <c r="BB182" s="203"/>
      <c r="BC182" s="203"/>
      <c r="BF182" s="203"/>
      <c r="BG182" s="203"/>
      <c r="BH182" s="203"/>
      <c r="BI182" s="203"/>
      <c r="BJ182" s="203"/>
      <c r="BL182" s="203"/>
    </row>
    <row r="183" spans="43:64" x14ac:dyDescent="0.25">
      <c r="AQ183" s="203"/>
      <c r="AR183" s="203"/>
      <c r="AS183" s="203"/>
      <c r="AT183" s="203"/>
      <c r="AU183" s="203"/>
      <c r="AV183" s="203"/>
      <c r="AW183" s="203"/>
      <c r="AX183" s="203"/>
      <c r="AY183" s="203"/>
      <c r="AZ183" s="203"/>
      <c r="BA183" s="203"/>
      <c r="BB183" s="203"/>
      <c r="BC183" s="203"/>
      <c r="BF183" s="203"/>
      <c r="BG183" s="203"/>
      <c r="BH183" s="203"/>
      <c r="BI183" s="203"/>
      <c r="BJ183" s="203"/>
      <c r="BL183" s="203"/>
    </row>
  </sheetData>
  <mergeCells count="65">
    <mergeCell ref="B10:BG10"/>
    <mergeCell ref="BF16:BG16"/>
    <mergeCell ref="AZ16:BA16"/>
    <mergeCell ref="AD16:AI16"/>
    <mergeCell ref="F15:AI15"/>
    <mergeCell ref="Z16:AA16"/>
    <mergeCell ref="AM16:AN16"/>
    <mergeCell ref="AB16:AC16"/>
    <mergeCell ref="BI15:BL15"/>
    <mergeCell ref="J16:K16"/>
    <mergeCell ref="V16:W16"/>
    <mergeCell ref="BD16:BE16"/>
    <mergeCell ref="AR16:AS16"/>
    <mergeCell ref="AT16:AU16"/>
    <mergeCell ref="AK15:BG15"/>
    <mergeCell ref="AV16:AY16"/>
    <mergeCell ref="AK16:AL16"/>
    <mergeCell ref="L16:M16"/>
    <mergeCell ref="AP16:AQ16"/>
    <mergeCell ref="BB16:BC16"/>
    <mergeCell ref="BF11:BG11"/>
    <mergeCell ref="AZ11:BA11"/>
    <mergeCell ref="AK11:AL11"/>
    <mergeCell ref="V11:W11"/>
    <mergeCell ref="AM11:AN11"/>
    <mergeCell ref="AP11:AQ11"/>
    <mergeCell ref="BB11:BC11"/>
    <mergeCell ref="Z11:AA11"/>
    <mergeCell ref="BD11:BE11"/>
    <mergeCell ref="AV11:AY11"/>
    <mergeCell ref="AR11:AS11"/>
    <mergeCell ref="AT11:AU11"/>
    <mergeCell ref="AB11:AC11"/>
    <mergeCell ref="AD11:AI11"/>
    <mergeCell ref="AC4:AF4"/>
    <mergeCell ref="Q4:AB4"/>
    <mergeCell ref="J5:O5"/>
    <mergeCell ref="H5:I5"/>
    <mergeCell ref="Y5:Z5"/>
    <mergeCell ref="AA5:AB5"/>
    <mergeCell ref="Q5:R5"/>
    <mergeCell ref="S5:T5"/>
    <mergeCell ref="W5:X5"/>
    <mergeCell ref="E5:F5"/>
    <mergeCell ref="AC5:AD5"/>
    <mergeCell ref="AE5:AF5"/>
    <mergeCell ref="H4:O4"/>
    <mergeCell ref="B4:F4"/>
    <mergeCell ref="U5:V5"/>
    <mergeCell ref="F16:G16"/>
    <mergeCell ref="R16:S16"/>
    <mergeCell ref="X16:Y16"/>
    <mergeCell ref="X11:Y11"/>
    <mergeCell ref="P11:Q11"/>
    <mergeCell ref="R11:S11"/>
    <mergeCell ref="H11:I11"/>
    <mergeCell ref="T11:U11"/>
    <mergeCell ref="N11:O11"/>
    <mergeCell ref="F11:G11"/>
    <mergeCell ref="J11:K11"/>
    <mergeCell ref="L11:M11"/>
    <mergeCell ref="P16:Q16"/>
    <mergeCell ref="H16:I16"/>
    <mergeCell ref="T16:U16"/>
    <mergeCell ref="N16:O16"/>
  </mergeCells>
  <pageMargins left="0.78740157499999996" right="0.78740157499999996" top="0.984251969" bottom="0.984251969" header="0.4921259845" footer="0.4921259845"/>
  <pageSetup paperSize="9" orientation="portrait" horizontalDpi="0" verticalDpi="0" r:id="rId1"/>
  <headerFooter alignWithMargins="0"/>
  <ignoredErrors>
    <ignoredError sqref="W18:W51 G18:G51 G13 R13" 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K185"/>
  <sheetViews>
    <sheetView showGridLines="0" topLeftCell="A31" zoomScale="60" zoomScaleNormal="60" workbookViewId="0">
      <selection activeCell="AM19" sqref="AM19"/>
    </sheetView>
  </sheetViews>
  <sheetFormatPr baseColWidth="10" defaultRowHeight="13.2" x14ac:dyDescent="0.25"/>
  <cols>
    <col min="1" max="1" width="2.33203125" style="5" customWidth="1"/>
    <col min="2" max="2" width="12.6640625" style="5" customWidth="1"/>
    <col min="3" max="3" width="12.33203125" style="5" customWidth="1"/>
    <col min="4" max="4" width="12.44140625" style="5" customWidth="1"/>
    <col min="5" max="5" width="12" style="5" customWidth="1"/>
    <col min="6" max="6" width="11.88671875" style="6" customWidth="1"/>
    <col min="7" max="7" width="11.5546875" style="5" customWidth="1"/>
    <col min="8" max="11" width="12.33203125" style="5" customWidth="1"/>
    <col min="12" max="13" width="12.88671875" style="5" customWidth="1"/>
    <col min="14" max="15" width="10.33203125" style="5" customWidth="1"/>
    <col min="16" max="16" width="3.44140625" style="5" customWidth="1"/>
    <col min="17" max="33" width="11.5546875" style="5"/>
    <col min="34" max="36" width="11.44140625" style="9" customWidth="1"/>
    <col min="37" max="37" width="2.6640625" style="9" customWidth="1"/>
    <col min="38" max="38" width="12.109375" style="9" customWidth="1"/>
    <col min="39" max="40" width="11.44140625" style="9" customWidth="1"/>
    <col min="41" max="45" width="11.88671875" style="9" customWidth="1"/>
    <col min="46" max="47" width="11.5546875" style="5"/>
    <col min="48" max="50" width="11.88671875" style="9" customWidth="1"/>
    <col min="51" max="51" width="11.44140625" style="9" customWidth="1"/>
    <col min="52" max="52" width="10.6640625" style="9" customWidth="1"/>
    <col min="53" max="53" width="12.6640625" style="5" customWidth="1"/>
    <col min="54" max="54" width="11.44140625" style="8" customWidth="1"/>
    <col min="55" max="55" width="3.88671875" style="5" customWidth="1"/>
    <col min="56" max="61" width="11.5546875" style="5"/>
    <col min="62" max="62" width="13.44140625" style="7" customWidth="1"/>
    <col min="63" max="75" width="11.44140625" style="7" customWidth="1"/>
    <col min="76" max="82" width="11.44140625" style="6" customWidth="1"/>
    <col min="83" max="83" width="13.88671875" style="6" bestFit="1" customWidth="1"/>
    <col min="84" max="84" width="13.5546875" style="6" bestFit="1" customWidth="1"/>
    <col min="85" max="85" width="13.88671875" style="6" bestFit="1" customWidth="1"/>
    <col min="86" max="86" width="13.5546875" style="6" bestFit="1" customWidth="1"/>
    <col min="87" max="87" width="13.88671875" style="6" bestFit="1" customWidth="1"/>
    <col min="88" max="88" width="13.5546875" style="6" bestFit="1" customWidth="1"/>
    <col min="89" max="89" width="11.44140625" style="6" customWidth="1"/>
    <col min="90" max="90" width="13.5546875" style="6" bestFit="1" customWidth="1"/>
    <col min="91" max="91" width="13.44140625" style="6" bestFit="1" customWidth="1"/>
    <col min="92" max="92" width="13.5546875" style="6" bestFit="1" customWidth="1"/>
    <col min="93" max="93" width="13.44140625" style="6" bestFit="1" customWidth="1"/>
    <col min="94" max="94" width="13.5546875" style="6" bestFit="1" customWidth="1"/>
    <col min="95" max="95" width="13.44140625" style="6" bestFit="1" customWidth="1"/>
    <col min="96" max="107" width="11.44140625" style="6" customWidth="1"/>
    <col min="108" max="16384" width="11.5546875" style="5"/>
  </cols>
  <sheetData>
    <row r="2" spans="1:115" x14ac:dyDescent="0.25">
      <c r="B2" s="436" t="s">
        <v>193</v>
      </c>
      <c r="C2" s="436"/>
      <c r="D2" s="436"/>
      <c r="E2" s="436"/>
      <c r="F2" s="436"/>
      <c r="G2" s="436"/>
      <c r="H2" s="436"/>
      <c r="I2" s="436"/>
      <c r="J2" s="436"/>
      <c r="K2" s="436"/>
      <c r="L2" s="436"/>
      <c r="M2" s="436"/>
      <c r="Q2" s="201" t="s">
        <v>192</v>
      </c>
      <c r="R2" s="198"/>
      <c r="S2" s="198"/>
      <c r="T2" s="198"/>
      <c r="U2" s="198"/>
      <c r="V2" s="198"/>
      <c r="W2" s="198"/>
      <c r="X2" s="198"/>
      <c r="Y2" s="198"/>
      <c r="Z2" s="198"/>
      <c r="AA2" s="198"/>
      <c r="AB2" s="198"/>
      <c r="AC2" s="198"/>
      <c r="AD2" s="198"/>
      <c r="AE2" s="198"/>
      <c r="AF2" s="198"/>
      <c r="AG2" s="198"/>
      <c r="AH2" s="199"/>
      <c r="AI2" s="199"/>
      <c r="AJ2" s="199"/>
      <c r="AK2" s="199"/>
      <c r="AL2" s="199"/>
      <c r="AM2" s="199"/>
      <c r="AN2" s="199"/>
      <c r="AO2" s="199"/>
      <c r="AP2" s="199"/>
      <c r="AQ2" s="199"/>
      <c r="AR2" s="199"/>
      <c r="AS2" s="198"/>
      <c r="AT2" s="198"/>
      <c r="AU2" s="198"/>
      <c r="AV2" s="199"/>
      <c r="AW2" s="198"/>
      <c r="AX2" s="198"/>
      <c r="AY2" s="199"/>
      <c r="AZ2" s="198"/>
      <c r="BA2" s="198"/>
      <c r="BB2" s="198"/>
      <c r="BC2" s="197"/>
      <c r="BD2" s="197"/>
      <c r="BE2" s="197"/>
      <c r="BF2" s="197"/>
      <c r="BG2" s="197"/>
      <c r="BH2" s="197"/>
      <c r="BI2" s="197"/>
      <c r="BJ2" s="197"/>
      <c r="BK2" s="197"/>
      <c r="BL2" s="197"/>
      <c r="BM2" s="197"/>
      <c r="BN2" s="197"/>
      <c r="BO2" s="197"/>
      <c r="BP2" s="197"/>
      <c r="BQ2" s="176"/>
      <c r="BX2" s="7"/>
      <c r="BY2" s="7"/>
      <c r="BZ2" s="7"/>
      <c r="CA2" s="7"/>
      <c r="CB2" s="7"/>
      <c r="CC2" s="7"/>
      <c r="DD2" s="6"/>
      <c r="DE2" s="6"/>
      <c r="DF2" s="6"/>
      <c r="DG2" s="6"/>
      <c r="DH2" s="6"/>
      <c r="DI2" s="6"/>
    </row>
    <row r="3" spans="1:115" x14ac:dyDescent="0.25">
      <c r="B3" s="436"/>
      <c r="C3" s="436"/>
      <c r="D3" s="436"/>
      <c r="E3" s="436"/>
      <c r="F3" s="436"/>
      <c r="G3" s="436"/>
      <c r="H3" s="436"/>
      <c r="I3" s="436"/>
      <c r="J3" s="436"/>
      <c r="K3" s="436"/>
      <c r="L3" s="436"/>
      <c r="M3" s="436"/>
      <c r="Q3" s="200" t="s">
        <v>191</v>
      </c>
      <c r="R3" s="198"/>
      <c r="S3" s="198"/>
      <c r="T3" s="198"/>
      <c r="U3" s="198"/>
      <c r="V3" s="198"/>
      <c r="W3" s="198"/>
      <c r="X3" s="198"/>
      <c r="Y3" s="198"/>
      <c r="Z3" s="198"/>
      <c r="AA3" s="198"/>
      <c r="AB3" s="198"/>
      <c r="AC3" s="198"/>
      <c r="AD3" s="198"/>
      <c r="AE3" s="198"/>
      <c r="AF3" s="198"/>
      <c r="AG3" s="198"/>
      <c r="AH3" s="199"/>
      <c r="AI3" s="199"/>
      <c r="AJ3" s="199"/>
      <c r="AK3" s="199"/>
      <c r="AL3" s="199"/>
      <c r="AM3" s="199"/>
      <c r="AN3" s="199"/>
      <c r="AO3" s="199"/>
      <c r="AP3" s="199"/>
      <c r="AQ3" s="199"/>
      <c r="AR3" s="199"/>
      <c r="AS3" s="198"/>
      <c r="AT3" s="198"/>
      <c r="AU3" s="198"/>
      <c r="AV3" s="199"/>
      <c r="AW3" s="198"/>
      <c r="AX3" s="198"/>
      <c r="AY3" s="199"/>
      <c r="AZ3" s="198"/>
      <c r="BA3" s="198"/>
      <c r="BB3" s="198"/>
      <c r="BC3" s="197"/>
      <c r="BD3" s="197"/>
      <c r="BE3" s="197"/>
      <c r="BF3" s="197"/>
      <c r="BG3" s="197"/>
      <c r="BH3" s="197"/>
      <c r="BI3" s="197"/>
      <c r="BJ3" s="197"/>
      <c r="BK3" s="197"/>
      <c r="BL3" s="197"/>
      <c r="BM3" s="197"/>
      <c r="BN3" s="197"/>
      <c r="BO3" s="197"/>
      <c r="BP3" s="197"/>
      <c r="BQ3" s="176"/>
      <c r="BX3" s="7"/>
      <c r="BY3" s="7"/>
      <c r="BZ3" s="7"/>
      <c r="CA3" s="7"/>
      <c r="CB3" s="7"/>
      <c r="CC3" s="7"/>
      <c r="DD3" s="6"/>
      <c r="DE3" s="6"/>
      <c r="DF3" s="6"/>
      <c r="DG3" s="6"/>
      <c r="DH3" s="6"/>
      <c r="DI3" s="6"/>
    </row>
    <row r="4" spans="1:115" ht="13.8" thickBot="1" x14ac:dyDescent="0.3">
      <c r="Q4" s="196" t="s">
        <v>190</v>
      </c>
      <c r="R4" s="8"/>
      <c r="S4" s="8"/>
      <c r="T4" s="8"/>
      <c r="U4" s="8"/>
      <c r="V4" s="8"/>
      <c r="W4" s="8"/>
      <c r="X4" s="8"/>
      <c r="Y4" s="8"/>
      <c r="Z4" s="8"/>
      <c r="AA4" s="8"/>
      <c r="AB4" s="8"/>
      <c r="AC4" s="8"/>
      <c r="AD4" s="8"/>
      <c r="AE4" s="8"/>
      <c r="AF4" s="8"/>
      <c r="AG4" s="8"/>
      <c r="AH4" s="167"/>
      <c r="AI4" s="167"/>
      <c r="AJ4" s="167"/>
      <c r="AK4" s="167"/>
      <c r="AL4" s="167"/>
      <c r="AM4" s="167"/>
      <c r="AN4" s="167"/>
      <c r="AO4" s="167"/>
      <c r="AP4" s="167"/>
      <c r="AQ4" s="167"/>
      <c r="AR4" s="167"/>
      <c r="AS4" s="8"/>
      <c r="AT4" s="8"/>
      <c r="AU4" s="8"/>
      <c r="AV4" s="167"/>
      <c r="AW4" s="8"/>
      <c r="AX4" s="8"/>
      <c r="AY4" s="167"/>
      <c r="AZ4" s="8"/>
      <c r="BA4" s="8"/>
      <c r="BC4" s="189"/>
      <c r="BD4" s="189"/>
      <c r="BE4" s="189"/>
      <c r="BF4" s="189"/>
      <c r="BG4" s="189"/>
      <c r="BH4" s="189"/>
      <c r="BI4" s="189"/>
      <c r="BJ4" s="189"/>
      <c r="BK4" s="189"/>
      <c r="BL4" s="189"/>
      <c r="BM4" s="189"/>
      <c r="BN4" s="189"/>
      <c r="BO4" s="189"/>
      <c r="BP4" s="189"/>
      <c r="BQ4" s="158"/>
      <c r="BX4" s="7"/>
      <c r="BY4" s="7"/>
      <c r="BZ4" s="7"/>
      <c r="CA4" s="7"/>
      <c r="CB4" s="7"/>
      <c r="CC4" s="7"/>
      <c r="DD4" s="6"/>
      <c r="DE4" s="6"/>
      <c r="DF4" s="6"/>
      <c r="DG4" s="6"/>
      <c r="DH4" s="6"/>
      <c r="DI4" s="6"/>
    </row>
    <row r="5" spans="1:115" ht="14.4" x14ac:dyDescent="0.25">
      <c r="B5" s="437" t="s">
        <v>189</v>
      </c>
      <c r="C5" s="438"/>
      <c r="D5" s="438"/>
      <c r="E5" s="438"/>
      <c r="F5" s="439"/>
      <c r="G5" s="437" t="s">
        <v>188</v>
      </c>
      <c r="H5" s="439"/>
      <c r="Q5" s="191" t="s">
        <v>187</v>
      </c>
      <c r="R5" s="8"/>
      <c r="S5" s="8"/>
      <c r="T5" s="8"/>
      <c r="U5" s="8"/>
      <c r="V5" s="8"/>
      <c r="W5" s="8"/>
      <c r="X5" s="8"/>
      <c r="Y5" s="8"/>
      <c r="Z5" s="8"/>
      <c r="AA5" s="8"/>
      <c r="AB5" s="8"/>
      <c r="AC5" s="8"/>
      <c r="AD5" s="8"/>
      <c r="AE5" s="8"/>
      <c r="AF5" s="8"/>
      <c r="AG5" s="8"/>
      <c r="AH5" s="8"/>
      <c r="AI5" s="8"/>
      <c r="AJ5" s="8"/>
      <c r="AK5" s="167"/>
      <c r="AL5" s="167"/>
      <c r="AM5" s="167"/>
      <c r="AN5" s="167"/>
      <c r="AO5" s="167"/>
      <c r="AP5" s="167"/>
      <c r="AQ5" s="167"/>
      <c r="AR5" s="167"/>
      <c r="AS5" s="167"/>
      <c r="AT5" s="8"/>
      <c r="AU5" s="8"/>
      <c r="AV5" s="167"/>
      <c r="AW5" s="8"/>
      <c r="AX5" s="8"/>
      <c r="AY5" s="167"/>
      <c r="AZ5" s="8"/>
      <c r="BA5" s="8"/>
      <c r="BC5" s="8"/>
      <c r="BD5" s="8"/>
      <c r="BE5" s="8"/>
      <c r="BF5" s="8"/>
      <c r="BG5" s="8"/>
      <c r="BH5" s="8"/>
      <c r="BI5" s="8"/>
      <c r="BJ5" s="8"/>
      <c r="BK5" s="8"/>
      <c r="BL5" s="8"/>
      <c r="BM5" s="8"/>
      <c r="BN5" s="8"/>
      <c r="BO5" s="8"/>
      <c r="BP5" s="8"/>
      <c r="BQ5" s="158"/>
      <c r="BX5" s="7"/>
      <c r="BY5" s="7"/>
      <c r="BZ5" s="7"/>
      <c r="CA5" s="7"/>
      <c r="CB5" s="7"/>
      <c r="CC5" s="7"/>
      <c r="CD5" s="7"/>
      <c r="DD5" s="6"/>
      <c r="DE5" s="6"/>
      <c r="DF5" s="6"/>
      <c r="DG5" s="6"/>
      <c r="DH5" s="6"/>
      <c r="DI5" s="6"/>
      <c r="DJ5" s="6"/>
    </row>
    <row r="6" spans="1:115" ht="12.75" customHeight="1" x14ac:dyDescent="0.25">
      <c r="A6" s="8"/>
      <c r="B6" s="153" t="s">
        <v>186</v>
      </c>
      <c r="C6" s="126" t="s">
        <v>185</v>
      </c>
      <c r="D6" s="126" t="s">
        <v>184</v>
      </c>
      <c r="E6" s="107" t="s">
        <v>183</v>
      </c>
      <c r="F6" s="195" t="s">
        <v>182</v>
      </c>
      <c r="G6" s="153" t="s">
        <v>181</v>
      </c>
      <c r="H6" s="152" t="s">
        <v>180</v>
      </c>
      <c r="Q6" s="191" t="s">
        <v>179</v>
      </c>
      <c r="R6" s="8"/>
      <c r="S6" s="8"/>
      <c r="T6" s="48"/>
      <c r="U6" s="8"/>
      <c r="V6" s="190"/>
      <c r="W6" s="117"/>
      <c r="X6" s="111"/>
      <c r="Y6" s="111"/>
      <c r="Z6" s="111"/>
      <c r="AA6" s="111"/>
      <c r="AB6" s="111"/>
      <c r="AC6" s="111"/>
      <c r="AD6" s="111"/>
      <c r="AE6" s="111"/>
      <c r="AF6" s="111"/>
      <c r="AG6" s="111"/>
      <c r="AH6" s="111"/>
      <c r="AI6" s="111"/>
      <c r="AJ6" s="111"/>
      <c r="AK6" s="111"/>
      <c r="AL6" s="111"/>
      <c r="AM6" s="111"/>
      <c r="AN6" s="111"/>
      <c r="AO6" s="167"/>
      <c r="AP6" s="111"/>
      <c r="AQ6" s="111"/>
      <c r="AR6" s="111"/>
      <c r="AS6" s="111"/>
      <c r="AT6" s="111"/>
      <c r="AU6" s="111"/>
      <c r="AV6" s="111"/>
      <c r="AW6" s="111"/>
      <c r="AX6" s="111"/>
      <c r="AY6" s="111"/>
      <c r="AZ6" s="111"/>
      <c r="BA6" s="111"/>
      <c r="BB6" s="111"/>
      <c r="BC6" s="111"/>
      <c r="BD6" s="111"/>
      <c r="BE6" s="111"/>
      <c r="BF6" s="111"/>
      <c r="BG6" s="111"/>
      <c r="BH6" s="111"/>
      <c r="BI6" s="111"/>
      <c r="BJ6" s="111"/>
      <c r="BK6" s="111"/>
      <c r="BL6" s="111"/>
      <c r="BM6" s="111"/>
      <c r="BN6" s="111"/>
      <c r="BO6" s="111"/>
      <c r="BP6" s="111"/>
      <c r="BQ6" s="158"/>
      <c r="BR6" s="189"/>
      <c r="BX6" s="7"/>
      <c r="BY6" s="7"/>
      <c r="BZ6" s="7"/>
      <c r="CA6" s="7"/>
      <c r="CB6" s="7"/>
      <c r="CC6" s="7"/>
      <c r="CD6" s="7"/>
      <c r="CE6" s="111"/>
      <c r="CF6" s="111"/>
      <c r="CG6" s="111"/>
      <c r="CH6" s="111"/>
      <c r="CI6" s="111"/>
      <c r="CJ6" s="111"/>
      <c r="CK6" s="111"/>
      <c r="CL6" s="111"/>
      <c r="CM6" s="111"/>
      <c r="CN6" s="111"/>
      <c r="CO6" s="111"/>
      <c r="CP6" s="111"/>
      <c r="CQ6" s="111"/>
      <c r="CR6" s="111"/>
      <c r="CS6" s="111"/>
      <c r="DD6" s="6"/>
      <c r="DE6" s="6"/>
      <c r="DF6" s="6"/>
      <c r="DG6" s="6"/>
      <c r="DH6" s="6"/>
      <c r="DI6" s="6"/>
      <c r="DJ6" s="6"/>
    </row>
    <row r="7" spans="1:115" ht="12.75" customHeight="1" thickBot="1" x14ac:dyDescent="0.3">
      <c r="A7" s="8"/>
      <c r="B7" s="143">
        <v>500</v>
      </c>
      <c r="C7" s="194">
        <v>400</v>
      </c>
      <c r="D7" s="194">
        <v>300</v>
      </c>
      <c r="E7" s="193">
        <v>300</v>
      </c>
      <c r="F7" s="192">
        <v>350</v>
      </c>
      <c r="G7" s="143">
        <v>150</v>
      </c>
      <c r="H7" s="163">
        <v>1300</v>
      </c>
      <c r="O7" s="140"/>
      <c r="P7" s="140"/>
      <c r="Q7" s="191" t="s">
        <v>178</v>
      </c>
      <c r="R7" s="8"/>
      <c r="S7" s="8"/>
      <c r="T7" s="8"/>
      <c r="U7" s="48"/>
      <c r="V7" s="8"/>
      <c r="W7" s="190"/>
      <c r="X7" s="117"/>
      <c r="Y7" s="111"/>
      <c r="Z7" s="111"/>
      <c r="AA7" s="111"/>
      <c r="AB7" s="111"/>
      <c r="AC7" s="111"/>
      <c r="AD7" s="111"/>
      <c r="AE7" s="111"/>
      <c r="AF7" s="111"/>
      <c r="AG7" s="111"/>
      <c r="AH7" s="111"/>
      <c r="AI7" s="111"/>
      <c r="AJ7" s="111"/>
      <c r="AK7" s="111"/>
      <c r="AL7" s="111"/>
      <c r="AM7" s="111"/>
      <c r="AN7" s="111"/>
      <c r="AO7" s="111"/>
      <c r="AP7" s="111"/>
      <c r="AQ7" s="111"/>
      <c r="AR7" s="111"/>
      <c r="AS7" s="111"/>
      <c r="AT7" s="111"/>
      <c r="AU7" s="111"/>
      <c r="AV7" s="167"/>
      <c r="AW7" s="111"/>
      <c r="AX7" s="111"/>
      <c r="AY7" s="111"/>
      <c r="AZ7" s="111"/>
      <c r="BA7" s="111"/>
      <c r="BB7" s="111"/>
      <c r="BC7" s="111"/>
      <c r="BD7" s="111"/>
      <c r="BE7" s="111"/>
      <c r="BF7" s="111"/>
      <c r="BG7" s="111"/>
      <c r="BH7" s="111"/>
      <c r="BI7" s="111"/>
      <c r="BJ7" s="111"/>
      <c r="BK7" s="111"/>
      <c r="BL7" s="111"/>
      <c r="BM7" s="111"/>
      <c r="BN7" s="111"/>
      <c r="BO7" s="111"/>
      <c r="BP7" s="111"/>
      <c r="BQ7" s="158"/>
      <c r="BR7" s="189"/>
      <c r="BX7" s="7"/>
      <c r="BY7" s="7"/>
      <c r="BZ7" s="7"/>
      <c r="CA7" s="7"/>
      <c r="CB7" s="7"/>
      <c r="CC7" s="7"/>
      <c r="CD7" s="7"/>
      <c r="CE7" s="7"/>
      <c r="CF7" s="111"/>
      <c r="CG7" s="111"/>
      <c r="CH7" s="111"/>
      <c r="CI7" s="111"/>
      <c r="CJ7" s="111"/>
      <c r="CK7" s="111"/>
      <c r="CL7" s="111"/>
      <c r="CM7" s="111"/>
      <c r="CN7" s="111"/>
      <c r="CO7" s="111"/>
      <c r="CP7" s="111"/>
      <c r="CQ7" s="111"/>
      <c r="CR7" s="111"/>
      <c r="CS7" s="111"/>
      <c r="CT7" s="111"/>
      <c r="DD7" s="6"/>
      <c r="DE7" s="6"/>
      <c r="DF7" s="6"/>
      <c r="DG7" s="6"/>
      <c r="DH7" s="6"/>
      <c r="DI7" s="6"/>
      <c r="DJ7" s="6"/>
      <c r="DK7" s="6"/>
    </row>
    <row r="8" spans="1:115" ht="13.8" thickBot="1" x14ac:dyDescent="0.3">
      <c r="F8" s="5"/>
      <c r="G8" s="6"/>
      <c r="Q8" s="188" t="s">
        <v>177</v>
      </c>
      <c r="R8" s="187"/>
      <c r="S8" s="187"/>
      <c r="T8" s="187"/>
      <c r="U8" s="149"/>
      <c r="V8" s="149"/>
      <c r="W8" s="149"/>
      <c r="X8" s="186"/>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85"/>
      <c r="AW8" s="147"/>
      <c r="AX8" s="147"/>
      <c r="AY8" s="147"/>
      <c r="AZ8" s="147"/>
      <c r="BA8" s="147"/>
      <c r="BB8" s="147"/>
      <c r="BC8" s="147"/>
      <c r="BD8" s="147"/>
      <c r="BE8" s="147"/>
      <c r="BF8" s="147"/>
      <c r="BG8" s="147"/>
      <c r="BH8" s="147"/>
      <c r="BI8" s="147"/>
      <c r="BJ8" s="147"/>
      <c r="BK8" s="147"/>
      <c r="BL8" s="147"/>
      <c r="BM8" s="147"/>
      <c r="BN8" s="147"/>
      <c r="BO8" s="147"/>
      <c r="BP8" s="147"/>
      <c r="BQ8" s="184"/>
      <c r="BX8" s="7"/>
      <c r="BY8" s="7"/>
      <c r="BZ8" s="7"/>
      <c r="CA8" s="7"/>
      <c r="CB8" s="7"/>
      <c r="CC8" s="7"/>
      <c r="CD8" s="7"/>
      <c r="CE8" s="7"/>
      <c r="CF8" s="111"/>
      <c r="CG8" s="111"/>
      <c r="CH8" s="111"/>
      <c r="CI8" s="111"/>
      <c r="CJ8" s="111"/>
      <c r="CK8" s="111"/>
      <c r="CL8" s="111"/>
      <c r="CM8" s="111"/>
      <c r="CN8" s="111"/>
      <c r="CO8" s="111"/>
      <c r="CP8" s="111"/>
      <c r="CQ8" s="111"/>
      <c r="CR8" s="111"/>
      <c r="CS8" s="111"/>
      <c r="CT8" s="111"/>
      <c r="DD8" s="6"/>
      <c r="DE8" s="6"/>
      <c r="DF8" s="6"/>
      <c r="DG8" s="6"/>
      <c r="DH8" s="6"/>
      <c r="DI8" s="6"/>
      <c r="DJ8" s="6"/>
      <c r="DK8" s="6"/>
    </row>
    <row r="9" spans="1:115" s="175" customFormat="1" ht="13.5" customHeight="1" x14ac:dyDescent="0.25">
      <c r="B9" s="443" t="s">
        <v>176</v>
      </c>
      <c r="C9" s="444"/>
      <c r="D9" s="444"/>
      <c r="E9" s="444"/>
      <c r="F9" s="444"/>
      <c r="G9" s="445"/>
      <c r="H9" s="446" t="s">
        <v>175</v>
      </c>
      <c r="I9" s="447"/>
      <c r="J9" s="448" t="s">
        <v>174</v>
      </c>
      <c r="K9" s="449"/>
      <c r="Q9" s="183" t="s">
        <v>173</v>
      </c>
      <c r="R9" s="180"/>
      <c r="S9" s="180"/>
      <c r="T9" s="180"/>
      <c r="U9" s="180"/>
      <c r="V9" s="180"/>
      <c r="W9" s="180"/>
      <c r="X9" s="182"/>
      <c r="Y9" s="182"/>
      <c r="Z9" s="181"/>
      <c r="AA9" s="181"/>
      <c r="AB9" s="181"/>
      <c r="AC9" s="181"/>
      <c r="AD9" s="181"/>
      <c r="AE9" s="181"/>
      <c r="AF9" s="181"/>
      <c r="AG9" s="177"/>
      <c r="AH9" s="177"/>
      <c r="AI9" s="177"/>
      <c r="AJ9" s="177"/>
      <c r="AK9" s="177"/>
      <c r="AL9" s="177"/>
      <c r="AM9" s="177"/>
      <c r="AN9" s="177"/>
      <c r="AO9" s="177"/>
      <c r="AP9" s="179"/>
      <c r="AQ9" s="180"/>
      <c r="AR9" s="180"/>
      <c r="AS9" s="180"/>
      <c r="AT9" s="180"/>
      <c r="AU9" s="179"/>
      <c r="AV9" s="180"/>
      <c r="AW9" s="177"/>
      <c r="AX9" s="177"/>
      <c r="AY9" s="179"/>
      <c r="AZ9" s="178"/>
      <c r="BA9" s="177"/>
      <c r="BB9" s="177"/>
      <c r="BC9" s="177"/>
      <c r="BD9" s="177"/>
      <c r="BE9" s="177"/>
      <c r="BF9" s="177"/>
      <c r="BG9" s="177"/>
      <c r="BH9" s="177"/>
      <c r="BI9" s="177"/>
      <c r="BJ9" s="177"/>
      <c r="BK9" s="177"/>
      <c r="BL9" s="177"/>
      <c r="BM9" s="177"/>
      <c r="BN9" s="177"/>
      <c r="BO9" s="177"/>
      <c r="BP9" s="177"/>
      <c r="BQ9" s="176"/>
      <c r="BR9" s="7"/>
      <c r="BS9" s="7"/>
      <c r="BT9" s="7"/>
      <c r="BU9" s="7"/>
      <c r="BV9" s="7"/>
      <c r="BW9" s="7"/>
      <c r="BX9" s="7"/>
      <c r="BY9" s="7"/>
      <c r="BZ9" s="7"/>
      <c r="CA9" s="7"/>
      <c r="CB9" s="7"/>
      <c r="CC9" s="7"/>
      <c r="CD9" s="7"/>
      <c r="CE9" s="7"/>
      <c r="CF9" s="111"/>
      <c r="CG9" s="111"/>
      <c r="CH9" s="111"/>
      <c r="CI9" s="111"/>
      <c r="CJ9" s="111"/>
      <c r="CK9" s="111"/>
      <c r="CL9" s="111"/>
      <c r="CM9" s="111"/>
      <c r="CN9" s="111"/>
      <c r="CO9" s="111"/>
      <c r="CP9" s="111"/>
      <c r="CQ9" s="111"/>
      <c r="CR9" s="111"/>
      <c r="CS9" s="111"/>
      <c r="CT9" s="111"/>
      <c r="CU9" s="6"/>
      <c r="CV9" s="6"/>
      <c r="CW9" s="6"/>
      <c r="CX9" s="6"/>
      <c r="CY9" s="6"/>
      <c r="CZ9" s="130"/>
      <c r="DA9" s="130"/>
      <c r="DB9" s="130"/>
      <c r="DC9" s="130"/>
      <c r="DD9" s="130"/>
      <c r="DE9" s="130"/>
      <c r="DF9" s="130"/>
      <c r="DG9" s="130"/>
      <c r="DH9" s="130"/>
      <c r="DI9" s="130"/>
      <c r="DJ9" s="130"/>
      <c r="DK9" s="130"/>
    </row>
    <row r="10" spans="1:115" ht="12.75" customHeight="1" x14ac:dyDescent="0.25">
      <c r="B10" s="174" t="s">
        <v>172</v>
      </c>
      <c r="C10" s="172" t="s">
        <v>171</v>
      </c>
      <c r="D10" s="172" t="s">
        <v>170</v>
      </c>
      <c r="E10" s="173" t="s">
        <v>169</v>
      </c>
      <c r="F10" s="172" t="s">
        <v>168</v>
      </c>
      <c r="G10" s="171" t="s">
        <v>167</v>
      </c>
      <c r="H10" s="153" t="s">
        <v>166</v>
      </c>
      <c r="I10" s="152" t="s">
        <v>165</v>
      </c>
      <c r="J10" s="300" t="s">
        <v>164</v>
      </c>
      <c r="K10" s="170" t="s">
        <v>163</v>
      </c>
      <c r="Q10" s="169" t="s">
        <v>162</v>
      </c>
      <c r="R10" s="8"/>
      <c r="S10" s="8"/>
      <c r="T10" s="8"/>
      <c r="U10" s="8"/>
      <c r="V10" s="8"/>
      <c r="W10" s="8"/>
      <c r="X10" s="133"/>
      <c r="Y10" s="133"/>
      <c r="Z10" s="168"/>
      <c r="AA10" s="168"/>
      <c r="AB10" s="168"/>
      <c r="AC10" s="168"/>
      <c r="AD10" s="168"/>
      <c r="AE10" s="168"/>
      <c r="AF10" s="168"/>
      <c r="AG10" s="111"/>
      <c r="AH10" s="111"/>
      <c r="AI10" s="111"/>
      <c r="AJ10" s="111"/>
      <c r="AK10" s="111"/>
      <c r="AL10" s="111"/>
      <c r="AM10" s="111"/>
      <c r="AN10" s="111"/>
      <c r="AO10" s="111"/>
      <c r="AP10" s="111"/>
      <c r="AQ10" s="111"/>
      <c r="AR10" s="111"/>
      <c r="AS10" s="111"/>
      <c r="AT10" s="111"/>
      <c r="AU10" s="159"/>
      <c r="AV10" s="167"/>
      <c r="AW10" s="159"/>
      <c r="AX10" s="111"/>
      <c r="AY10" s="111"/>
      <c r="AZ10" s="159"/>
      <c r="BA10" s="159"/>
      <c r="BB10" s="159"/>
      <c r="BC10" s="111"/>
      <c r="BD10" s="111"/>
      <c r="BE10" s="111"/>
      <c r="BF10" s="111"/>
      <c r="BG10" s="111"/>
      <c r="BH10" s="111"/>
      <c r="BI10" s="111"/>
      <c r="BJ10" s="111"/>
      <c r="BK10" s="111"/>
      <c r="BL10" s="111"/>
      <c r="BM10" s="111"/>
      <c r="BN10" s="111"/>
      <c r="BO10" s="111"/>
      <c r="BP10" s="111"/>
      <c r="BQ10" s="158"/>
      <c r="BX10" s="7"/>
      <c r="BY10" s="7"/>
      <c r="BZ10" s="7"/>
      <c r="CA10" s="7"/>
      <c r="CB10" s="7"/>
      <c r="CC10" s="7"/>
      <c r="CD10" s="7"/>
      <c r="CE10" s="7"/>
      <c r="CF10" s="111"/>
      <c r="CG10" s="111"/>
      <c r="CH10" s="111"/>
      <c r="CI10" s="111"/>
      <c r="CJ10" s="111"/>
      <c r="CK10" s="111"/>
      <c r="CL10" s="111"/>
      <c r="CM10" s="111"/>
      <c r="CN10" s="111"/>
      <c r="CO10" s="111"/>
      <c r="CP10" s="111"/>
      <c r="CQ10" s="111"/>
      <c r="CR10" s="111"/>
      <c r="CS10" s="111"/>
      <c r="CT10" s="111"/>
      <c r="CU10" s="130"/>
      <c r="CV10" s="130"/>
      <c r="CW10" s="130"/>
      <c r="CX10" s="130"/>
      <c r="CY10" s="130"/>
      <c r="DD10" s="6"/>
      <c r="DE10" s="6"/>
      <c r="DF10" s="6"/>
      <c r="DG10" s="6"/>
      <c r="DH10" s="6"/>
      <c r="DI10" s="6"/>
      <c r="DJ10" s="6"/>
      <c r="DK10" s="6"/>
    </row>
    <row r="11" spans="1:115" ht="13.5" customHeight="1" thickBot="1" x14ac:dyDescent="0.3">
      <c r="B11" s="63">
        <v>-2000</v>
      </c>
      <c r="C11" s="165">
        <v>-300</v>
      </c>
      <c r="D11" s="165">
        <v>-100</v>
      </c>
      <c r="E11" s="166">
        <v>-80</v>
      </c>
      <c r="F11" s="165">
        <v>-120</v>
      </c>
      <c r="G11" s="164">
        <v>-150</v>
      </c>
      <c r="H11" s="143">
        <v>250</v>
      </c>
      <c r="I11" s="163">
        <v>0</v>
      </c>
      <c r="J11" s="162">
        <v>25</v>
      </c>
      <c r="K11" s="161">
        <v>-50</v>
      </c>
      <c r="Q11" s="155" t="s">
        <v>161</v>
      </c>
      <c r="R11" s="8"/>
      <c r="S11" s="8"/>
      <c r="T11" s="8"/>
      <c r="U11" s="8"/>
      <c r="V11" s="8"/>
      <c r="W11" s="8"/>
      <c r="X11" s="133"/>
      <c r="Y11" s="133"/>
      <c r="Z11" s="141"/>
      <c r="AA11" s="141"/>
      <c r="AB11" s="141"/>
      <c r="AC11" s="141"/>
      <c r="AD11" s="141"/>
      <c r="AE11" s="141"/>
      <c r="AF11" s="141"/>
      <c r="AG11" s="111"/>
      <c r="AH11" s="111"/>
      <c r="AI11" s="111"/>
      <c r="AJ11" s="111"/>
      <c r="AK11" s="111"/>
      <c r="AL11" s="111"/>
      <c r="AM11" s="111"/>
      <c r="AN11" s="111"/>
      <c r="AO11" s="111"/>
      <c r="AP11" s="111"/>
      <c r="AQ11" s="160"/>
      <c r="AR11" s="111"/>
      <c r="AS11" s="111"/>
      <c r="AT11" s="111"/>
      <c r="AU11" s="159"/>
      <c r="AV11" s="111"/>
      <c r="AW11" s="159"/>
      <c r="AX11" s="111"/>
      <c r="AY11" s="111"/>
      <c r="AZ11" s="159"/>
      <c r="BA11" s="159"/>
      <c r="BB11" s="159"/>
      <c r="BC11" s="111"/>
      <c r="BD11" s="111"/>
      <c r="BE11" s="111"/>
      <c r="BF11" s="111"/>
      <c r="BG11" s="111"/>
      <c r="BH11" s="111"/>
      <c r="BI11" s="111"/>
      <c r="BJ11" s="111"/>
      <c r="BK11" s="111"/>
      <c r="BL11" s="111"/>
      <c r="BM11" s="111"/>
      <c r="BN11" s="111"/>
      <c r="BO11" s="111"/>
      <c r="BP11" s="111"/>
      <c r="BQ11" s="158"/>
      <c r="BX11" s="7"/>
      <c r="BY11" s="7"/>
      <c r="BZ11" s="7"/>
      <c r="CA11" s="7"/>
      <c r="CB11" s="7"/>
      <c r="CC11" s="7"/>
      <c r="CD11" s="7"/>
      <c r="CE11" s="7"/>
      <c r="CT11" s="111"/>
      <c r="DD11" s="6"/>
      <c r="DE11" s="6"/>
      <c r="DF11" s="6"/>
      <c r="DG11" s="6"/>
      <c r="DH11" s="6"/>
      <c r="DI11" s="6"/>
      <c r="DJ11" s="6"/>
      <c r="DK11" s="6"/>
    </row>
    <row r="12" spans="1:115" s="6" customFormat="1" ht="13.5" customHeight="1" thickBot="1" x14ac:dyDescent="0.3">
      <c r="B12" s="48"/>
      <c r="C12" s="48"/>
      <c r="D12" s="48"/>
      <c r="E12" s="48"/>
      <c r="F12" s="48"/>
      <c r="G12" s="48"/>
      <c r="H12" s="48"/>
      <c r="Q12" s="157" t="s">
        <v>160</v>
      </c>
      <c r="X12" s="133"/>
      <c r="Y12" s="133"/>
      <c r="Z12" s="141"/>
      <c r="AA12" s="141"/>
      <c r="AB12" s="141"/>
      <c r="AC12" s="141"/>
      <c r="AD12" s="141"/>
      <c r="AE12" s="141"/>
      <c r="AF12" s="14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c r="BD12" s="111"/>
      <c r="BE12" s="111"/>
      <c r="BF12" s="111"/>
      <c r="BG12" s="111"/>
      <c r="BH12" s="111"/>
      <c r="BI12" s="111"/>
      <c r="BJ12" s="111"/>
      <c r="BK12" s="111"/>
      <c r="BL12" s="111"/>
      <c r="BM12" s="111"/>
      <c r="BN12" s="111"/>
      <c r="BO12" s="111"/>
      <c r="BP12" s="111"/>
      <c r="BQ12" s="154"/>
      <c r="BR12" s="156"/>
      <c r="BS12" s="156"/>
      <c r="BT12" s="156"/>
      <c r="BU12" s="156"/>
      <c r="BV12" s="156"/>
      <c r="BW12" s="156"/>
      <c r="BX12" s="156"/>
      <c r="BY12" s="156"/>
      <c r="BZ12" s="156"/>
      <c r="CA12" s="156"/>
      <c r="CB12" s="156"/>
      <c r="CC12" s="156"/>
      <c r="CD12" s="156"/>
      <c r="CE12" s="156"/>
      <c r="CT12" s="111"/>
    </row>
    <row r="13" spans="1:115" s="144" customFormat="1" ht="13.5" customHeight="1" x14ac:dyDescent="0.25">
      <c r="B13" s="446" t="s">
        <v>159</v>
      </c>
      <c r="C13" s="447"/>
      <c r="D13" s="446" t="s">
        <v>158</v>
      </c>
      <c r="E13" s="447"/>
      <c r="F13" s="446" t="s">
        <v>157</v>
      </c>
      <c r="G13" s="447"/>
      <c r="H13" s="446" t="s">
        <v>156</v>
      </c>
      <c r="I13" s="447"/>
      <c r="Q13" s="155" t="s">
        <v>155</v>
      </c>
      <c r="R13" s="48"/>
      <c r="S13" s="48"/>
      <c r="T13" s="48"/>
      <c r="U13" s="48"/>
      <c r="V13" s="48"/>
      <c r="W13" s="48"/>
      <c r="X13" s="133"/>
      <c r="Y13" s="133"/>
      <c r="Z13" s="141"/>
      <c r="AA13" s="141"/>
      <c r="AB13" s="141"/>
      <c r="AC13" s="141"/>
      <c r="AD13" s="141"/>
      <c r="AE13" s="141"/>
      <c r="AF13" s="141"/>
      <c r="AG13" s="111"/>
      <c r="AH13" s="111"/>
      <c r="AI13" s="111"/>
      <c r="AJ13" s="111"/>
      <c r="AK13" s="111"/>
      <c r="AL13" s="111"/>
      <c r="AM13" s="111"/>
      <c r="AN13" s="111"/>
      <c r="AO13" s="111"/>
      <c r="AP13" s="111"/>
      <c r="AQ13" s="111"/>
      <c r="AR13" s="111"/>
      <c r="AS13" s="111"/>
      <c r="AT13" s="111"/>
      <c r="AU13" s="111"/>
      <c r="AV13" s="35"/>
      <c r="AW13" s="111"/>
      <c r="AX13" s="111"/>
      <c r="AY13" s="111"/>
      <c r="AZ13" s="111"/>
      <c r="BA13" s="111"/>
      <c r="BB13" s="111"/>
      <c r="BC13" s="111"/>
      <c r="BD13" s="111"/>
      <c r="BE13" s="111"/>
      <c r="BF13" s="111"/>
      <c r="BG13" s="111"/>
      <c r="BH13" s="111"/>
      <c r="BI13" s="111"/>
      <c r="BJ13" s="111"/>
      <c r="BK13" s="111"/>
      <c r="BL13" s="111"/>
      <c r="BM13" s="111"/>
      <c r="BN13" s="111"/>
      <c r="BO13" s="111"/>
      <c r="BP13" s="111"/>
      <c r="BQ13" s="154"/>
      <c r="BR13" s="145"/>
      <c r="BS13" s="145"/>
      <c r="BT13" s="145"/>
      <c r="BU13" s="145"/>
      <c r="BV13" s="145"/>
      <c r="BW13" s="145"/>
      <c r="BX13" s="145"/>
      <c r="BY13" s="145"/>
      <c r="BZ13" s="145"/>
      <c r="CA13" s="145"/>
      <c r="CB13" s="145"/>
      <c r="CC13" s="145"/>
      <c r="CD13" s="145"/>
      <c r="CE13" s="145"/>
      <c r="CF13" s="6"/>
      <c r="CG13" s="6"/>
      <c r="CH13" s="6"/>
      <c r="CI13" s="6"/>
      <c r="CJ13" s="6"/>
      <c r="CK13" s="6"/>
      <c r="CL13" s="6"/>
      <c r="CM13" s="6"/>
      <c r="CN13" s="6"/>
      <c r="CO13" s="6"/>
      <c r="CP13" s="6"/>
      <c r="CQ13" s="6"/>
      <c r="CR13" s="6"/>
      <c r="CS13" s="6"/>
      <c r="CT13" s="111"/>
      <c r="CU13" s="6"/>
      <c r="CV13" s="6"/>
      <c r="CW13" s="6"/>
      <c r="CX13" s="6"/>
      <c r="CY13" s="6"/>
      <c r="CZ13" s="6"/>
      <c r="DA13" s="6"/>
      <c r="DB13" s="6"/>
      <c r="DC13" s="6"/>
      <c r="DD13" s="6"/>
      <c r="DE13" s="6"/>
      <c r="DF13" s="6"/>
      <c r="DG13" s="6"/>
      <c r="DH13" s="6"/>
      <c r="DI13" s="6"/>
      <c r="DJ13" s="6"/>
      <c r="DK13" s="6"/>
    </row>
    <row r="14" spans="1:115" s="144" customFormat="1" ht="13.5" customHeight="1" x14ac:dyDescent="0.25">
      <c r="B14" s="153" t="s">
        <v>154</v>
      </c>
      <c r="C14" s="152" t="s">
        <v>153</v>
      </c>
      <c r="D14" s="153" t="s">
        <v>152</v>
      </c>
      <c r="E14" s="152" t="s">
        <v>151</v>
      </c>
      <c r="F14" s="153" t="s">
        <v>150</v>
      </c>
      <c r="G14" s="152" t="s">
        <v>149</v>
      </c>
      <c r="H14" s="153" t="s">
        <v>148</v>
      </c>
      <c r="I14" s="152" t="s">
        <v>147</v>
      </c>
      <c r="Q14" s="151" t="s">
        <v>146</v>
      </c>
      <c r="R14" s="150"/>
      <c r="S14" s="150"/>
      <c r="T14" s="150"/>
      <c r="U14" s="150"/>
      <c r="V14" s="150"/>
      <c r="W14" s="150"/>
      <c r="X14" s="149"/>
      <c r="Y14" s="149"/>
      <c r="Z14" s="148"/>
      <c r="AA14" s="148"/>
      <c r="AB14" s="148"/>
      <c r="AC14" s="148"/>
      <c r="AD14" s="148"/>
      <c r="AE14" s="148"/>
      <c r="AF14" s="148"/>
      <c r="AG14" s="147"/>
      <c r="AH14" s="147"/>
      <c r="AI14" s="147"/>
      <c r="AJ14" s="147"/>
      <c r="AK14" s="147"/>
      <c r="AL14" s="147"/>
      <c r="AM14" s="147"/>
      <c r="AN14" s="147"/>
      <c r="AO14" s="147"/>
      <c r="AP14" s="147"/>
      <c r="AQ14" s="147"/>
      <c r="AR14" s="147"/>
      <c r="AS14" s="147"/>
      <c r="AT14" s="147"/>
      <c r="AU14" s="147"/>
      <c r="AV14" s="147"/>
      <c r="AW14" s="147"/>
      <c r="AX14" s="147"/>
      <c r="AY14" s="147"/>
      <c r="AZ14" s="147"/>
      <c r="BA14" s="147"/>
      <c r="BB14" s="147"/>
      <c r="BC14" s="147"/>
      <c r="BD14" s="147"/>
      <c r="BE14" s="147"/>
      <c r="BF14" s="147"/>
      <c r="BG14" s="147"/>
      <c r="BH14" s="147"/>
      <c r="BI14" s="147"/>
      <c r="BJ14" s="147"/>
      <c r="BK14" s="147"/>
      <c r="BL14" s="147"/>
      <c r="BM14" s="147"/>
      <c r="BN14" s="147"/>
      <c r="BO14" s="147"/>
      <c r="BP14" s="147"/>
      <c r="BQ14" s="146"/>
      <c r="BR14" s="145"/>
      <c r="BS14" s="145"/>
      <c r="BT14" s="145"/>
      <c r="BU14" s="145"/>
      <c r="BV14" s="145"/>
      <c r="BW14" s="145"/>
      <c r="BX14" s="145"/>
      <c r="BY14" s="145"/>
      <c r="BZ14" s="145"/>
      <c r="CA14" s="145"/>
      <c r="CB14" s="145"/>
      <c r="CC14" s="145"/>
      <c r="CD14" s="145"/>
      <c r="CE14" s="145"/>
      <c r="CF14" s="6"/>
      <c r="CG14" s="6"/>
      <c r="CH14" s="6"/>
      <c r="CI14" s="6"/>
      <c r="CJ14" s="6"/>
      <c r="CK14" s="6"/>
      <c r="CL14" s="6"/>
      <c r="CM14" s="6"/>
      <c r="CN14" s="6"/>
      <c r="CO14" s="6"/>
      <c r="CP14" s="6"/>
      <c r="CQ14" s="6"/>
      <c r="CR14" s="6"/>
      <c r="CS14" s="6"/>
      <c r="CT14" s="111"/>
      <c r="CU14" s="6"/>
      <c r="CV14" s="6"/>
      <c r="CW14" s="6"/>
      <c r="CX14" s="6"/>
      <c r="CY14" s="6"/>
      <c r="CZ14" s="6"/>
      <c r="DA14" s="6"/>
      <c r="DB14" s="6"/>
      <c r="DC14" s="6"/>
      <c r="DD14" s="6"/>
      <c r="DE14" s="6"/>
      <c r="DF14" s="6"/>
      <c r="DG14" s="6"/>
      <c r="DH14" s="6"/>
      <c r="DI14" s="6"/>
      <c r="DJ14" s="6"/>
      <c r="DK14" s="6"/>
    </row>
    <row r="15" spans="1:115" ht="13.5" customHeight="1" thickBot="1" x14ac:dyDescent="0.3">
      <c r="B15" s="143">
        <v>350</v>
      </c>
      <c r="C15" s="142">
        <v>0</v>
      </c>
      <c r="D15" s="143">
        <v>350</v>
      </c>
      <c r="E15" s="142">
        <v>0</v>
      </c>
      <c r="F15" s="143">
        <v>400</v>
      </c>
      <c r="G15" s="142">
        <v>0</v>
      </c>
      <c r="H15" s="143">
        <v>500</v>
      </c>
      <c r="I15" s="142">
        <v>0</v>
      </c>
      <c r="Q15" s="48"/>
      <c r="R15" s="48"/>
      <c r="S15" s="48"/>
      <c r="T15" s="48"/>
      <c r="U15" s="48"/>
      <c r="V15" s="48"/>
      <c r="W15" s="133"/>
      <c r="X15" s="133"/>
      <c r="Y15" s="141"/>
      <c r="Z15" s="111"/>
      <c r="AA15" s="111"/>
      <c r="AB15" s="111"/>
      <c r="AC15" s="111"/>
      <c r="AD15" s="111"/>
      <c r="AE15" s="111"/>
      <c r="AF15" s="111"/>
      <c r="AG15" s="111"/>
      <c r="AH15" s="111"/>
      <c r="AI15" s="111"/>
      <c r="AJ15" s="111"/>
      <c r="AK15" s="111"/>
      <c r="AL15" s="111"/>
      <c r="AM15" s="111"/>
      <c r="AN15" s="111"/>
      <c r="AO15" s="111"/>
      <c r="AP15" s="111"/>
      <c r="AQ15" s="111"/>
      <c r="AR15" s="111"/>
      <c r="AS15" s="111"/>
      <c r="AV15" s="111"/>
      <c r="AW15" s="111"/>
      <c r="AX15" s="111"/>
      <c r="AY15" s="111"/>
      <c r="AZ15" s="111"/>
      <c r="BA15" s="111"/>
      <c r="BB15" s="111"/>
      <c r="BC15" s="111"/>
      <c r="BD15" s="111"/>
      <c r="BE15" s="111"/>
      <c r="BF15" s="111"/>
      <c r="BG15" s="111"/>
      <c r="BH15" s="111"/>
      <c r="BI15" s="111"/>
      <c r="BJ15" s="111"/>
      <c r="BX15" s="7"/>
      <c r="BZ15" s="412"/>
      <c r="CA15" s="412"/>
      <c r="CB15" s="412"/>
      <c r="CC15" s="412"/>
      <c r="CD15" s="412"/>
      <c r="CE15" s="412"/>
      <c r="CG15" s="412"/>
      <c r="CH15" s="412"/>
      <c r="CI15" s="412"/>
      <c r="CJ15" s="412"/>
      <c r="CK15" s="412"/>
      <c r="CL15" s="412"/>
      <c r="CM15" s="111"/>
      <c r="CN15" s="130"/>
      <c r="CO15" s="130"/>
      <c r="CP15" s="130"/>
      <c r="CQ15" s="130"/>
      <c r="CR15" s="130"/>
      <c r="DD15" s="6"/>
    </row>
    <row r="16" spans="1:115" ht="16.5" customHeight="1" thickBot="1" x14ac:dyDescent="0.3">
      <c r="B16" s="15"/>
      <c r="C16" s="46"/>
      <c r="D16" s="46"/>
      <c r="E16" s="46"/>
      <c r="F16" s="48"/>
      <c r="G16" s="46"/>
      <c r="H16" s="46"/>
      <c r="I16" s="46"/>
      <c r="J16" s="46"/>
      <c r="K16" s="140"/>
      <c r="L16" s="140"/>
      <c r="M16" s="140"/>
      <c r="N16" s="140"/>
      <c r="O16" s="140"/>
      <c r="P16" s="140"/>
      <c r="Q16" s="433" t="s">
        <v>145</v>
      </c>
      <c r="R16" s="434"/>
      <c r="S16" s="434"/>
      <c r="T16" s="434"/>
      <c r="U16" s="434"/>
      <c r="V16" s="434"/>
      <c r="W16" s="434"/>
      <c r="X16" s="434"/>
      <c r="Y16" s="434"/>
      <c r="Z16" s="434"/>
      <c r="AA16" s="434"/>
      <c r="AB16" s="434"/>
      <c r="AC16" s="434"/>
      <c r="AD16" s="434"/>
      <c r="AE16" s="434"/>
      <c r="AF16" s="434"/>
      <c r="AG16" s="434"/>
      <c r="AH16" s="434"/>
      <c r="AI16" s="434"/>
      <c r="AJ16" s="435"/>
      <c r="AK16" s="139"/>
      <c r="AL16" s="419" t="s">
        <v>144</v>
      </c>
      <c r="AM16" s="420"/>
      <c r="AN16" s="420"/>
      <c r="AO16" s="420"/>
      <c r="AP16" s="420"/>
      <c r="AQ16" s="420"/>
      <c r="AR16" s="420"/>
      <c r="AS16" s="420"/>
      <c r="AT16" s="420"/>
      <c r="AU16" s="420"/>
      <c r="AV16" s="420"/>
      <c r="AW16" s="420"/>
      <c r="AX16" s="420"/>
      <c r="AY16" s="420"/>
      <c r="AZ16" s="420"/>
      <c r="BA16" s="420"/>
      <c r="BB16" s="421"/>
      <c r="BC16" s="7"/>
      <c r="BD16" s="416" t="s">
        <v>143</v>
      </c>
      <c r="BE16" s="417"/>
      <c r="BF16" s="417"/>
      <c r="BG16" s="418"/>
      <c r="BH16" s="7"/>
      <c r="BI16" s="7"/>
      <c r="BQ16" s="6"/>
      <c r="BR16" s="415"/>
      <c r="BS16" s="415"/>
      <c r="BT16" s="415"/>
      <c r="BU16" s="415"/>
      <c r="BV16" s="415"/>
      <c r="BW16" s="415"/>
      <c r="BY16" s="415"/>
      <c r="BZ16" s="415"/>
      <c r="CA16" s="415"/>
      <c r="CB16" s="415"/>
      <c r="CC16" s="415"/>
      <c r="CD16" s="415"/>
      <c r="CE16" s="111"/>
      <c r="CF16" s="133"/>
      <c r="CG16" s="133"/>
      <c r="CH16" s="133"/>
      <c r="CU16" s="5"/>
      <c r="CV16" s="5"/>
      <c r="CW16" s="5"/>
      <c r="CX16" s="5"/>
      <c r="CY16" s="5"/>
      <c r="CZ16" s="5"/>
      <c r="DA16" s="5"/>
      <c r="DB16" s="5"/>
      <c r="DC16" s="5"/>
    </row>
    <row r="17" spans="2:107" ht="18" customHeight="1" x14ac:dyDescent="0.25">
      <c r="B17" s="79" t="s">
        <v>132</v>
      </c>
      <c r="C17" s="78" t="s">
        <v>131</v>
      </c>
      <c r="D17" s="138" t="s">
        <v>130</v>
      </c>
      <c r="F17" s="440" t="s">
        <v>142</v>
      </c>
      <c r="G17" s="441"/>
      <c r="H17" s="441"/>
      <c r="I17" s="441"/>
      <c r="J17" s="441"/>
      <c r="K17" s="441"/>
      <c r="L17" s="441"/>
      <c r="M17" s="441"/>
      <c r="N17" s="441"/>
      <c r="O17" s="40"/>
      <c r="P17" s="40"/>
      <c r="Q17" s="406" t="s">
        <v>129</v>
      </c>
      <c r="R17" s="407"/>
      <c r="S17" s="408" t="s">
        <v>128</v>
      </c>
      <c r="T17" s="407"/>
      <c r="U17" s="408" t="s">
        <v>127</v>
      </c>
      <c r="V17" s="407"/>
      <c r="W17" s="408" t="s">
        <v>126</v>
      </c>
      <c r="X17" s="407"/>
      <c r="Y17" s="408" t="s">
        <v>125</v>
      </c>
      <c r="Z17" s="407"/>
      <c r="AA17" s="408" t="s">
        <v>124</v>
      </c>
      <c r="AB17" s="407"/>
      <c r="AC17" s="408" t="s">
        <v>123</v>
      </c>
      <c r="AD17" s="407"/>
      <c r="AE17" s="408" t="s">
        <v>122</v>
      </c>
      <c r="AF17" s="407"/>
      <c r="AG17" s="451" t="s">
        <v>121</v>
      </c>
      <c r="AH17" s="451"/>
      <c r="AI17" s="451"/>
      <c r="AJ17" s="452"/>
      <c r="AK17" s="71"/>
      <c r="AL17" s="404" t="s">
        <v>120</v>
      </c>
      <c r="AM17" s="405"/>
      <c r="AN17" s="405"/>
      <c r="AO17" s="405"/>
      <c r="AP17" s="405" t="s">
        <v>119</v>
      </c>
      <c r="AQ17" s="405"/>
      <c r="AR17" s="405" t="s">
        <v>118</v>
      </c>
      <c r="AS17" s="405"/>
      <c r="AT17" s="413" t="s">
        <v>141</v>
      </c>
      <c r="AU17" s="414"/>
      <c r="AV17" s="137" t="s">
        <v>116</v>
      </c>
      <c r="AW17" s="413" t="s">
        <v>140</v>
      </c>
      <c r="AX17" s="414"/>
      <c r="AY17" s="413" t="s">
        <v>139</v>
      </c>
      <c r="AZ17" s="414"/>
      <c r="BA17" s="413" t="s">
        <v>138</v>
      </c>
      <c r="BB17" s="422"/>
      <c r="BC17" s="7"/>
      <c r="BD17" s="136" t="s">
        <v>112</v>
      </c>
      <c r="BE17" s="135" t="s">
        <v>111</v>
      </c>
      <c r="BF17" s="135" t="s">
        <v>112</v>
      </c>
      <c r="BG17" s="134" t="s">
        <v>111</v>
      </c>
      <c r="BH17" s="7"/>
      <c r="BI17" s="7"/>
      <c r="BQ17" s="6"/>
      <c r="BR17" s="415"/>
      <c r="BS17" s="415"/>
      <c r="BT17" s="415"/>
      <c r="BU17" s="415"/>
      <c r="BV17" s="415"/>
      <c r="BW17" s="415"/>
      <c r="BY17" s="415"/>
      <c r="BZ17" s="415"/>
      <c r="CA17" s="415"/>
      <c r="CB17" s="415"/>
      <c r="CC17" s="415"/>
      <c r="CD17" s="415"/>
      <c r="CE17" s="111"/>
      <c r="CF17" s="133"/>
      <c r="CG17" s="133"/>
      <c r="CH17" s="133"/>
      <c r="CI17" s="130"/>
      <c r="CU17" s="5"/>
      <c r="CV17" s="5"/>
      <c r="CW17" s="5"/>
      <c r="CX17" s="5"/>
      <c r="CY17" s="5"/>
      <c r="CZ17" s="5"/>
      <c r="DA17" s="5"/>
      <c r="DB17" s="5"/>
      <c r="DC17" s="5"/>
    </row>
    <row r="18" spans="2:107" ht="14.4" x14ac:dyDescent="0.25">
      <c r="B18" s="66" t="s">
        <v>110</v>
      </c>
      <c r="C18" s="65" t="s">
        <v>109</v>
      </c>
      <c r="D18" s="67" t="s">
        <v>108</v>
      </c>
      <c r="F18" s="441"/>
      <c r="G18" s="441"/>
      <c r="H18" s="441"/>
      <c r="I18" s="441"/>
      <c r="J18" s="441"/>
      <c r="K18" s="441"/>
      <c r="L18" s="441"/>
      <c r="M18" s="441"/>
      <c r="N18" s="441"/>
      <c r="O18" s="40"/>
      <c r="P18" s="40"/>
      <c r="Q18" s="66" t="s">
        <v>107</v>
      </c>
      <c r="R18" s="65" t="s">
        <v>106</v>
      </c>
      <c r="S18" s="65" t="s">
        <v>105</v>
      </c>
      <c r="T18" s="65" t="s">
        <v>104</v>
      </c>
      <c r="U18" s="65" t="s">
        <v>103</v>
      </c>
      <c r="V18" s="65" t="s">
        <v>102</v>
      </c>
      <c r="W18" s="65" t="s">
        <v>101</v>
      </c>
      <c r="X18" s="65" t="s">
        <v>100</v>
      </c>
      <c r="Y18" s="65" t="s">
        <v>99</v>
      </c>
      <c r="Z18" s="68" t="s">
        <v>98</v>
      </c>
      <c r="AA18" s="65" t="s">
        <v>97</v>
      </c>
      <c r="AB18" s="65" t="s">
        <v>96</v>
      </c>
      <c r="AC18" s="65" t="s">
        <v>95</v>
      </c>
      <c r="AD18" s="65" t="s">
        <v>94</v>
      </c>
      <c r="AE18" s="65" t="s">
        <v>93</v>
      </c>
      <c r="AF18" s="65" t="s">
        <v>92</v>
      </c>
      <c r="AG18" s="65" t="s">
        <v>91</v>
      </c>
      <c r="AH18" s="68" t="s">
        <v>90</v>
      </c>
      <c r="AI18" s="132" t="s">
        <v>89</v>
      </c>
      <c r="AJ18" s="131" t="s">
        <v>88</v>
      </c>
      <c r="AK18" s="71"/>
      <c r="AL18" s="70" t="s">
        <v>87</v>
      </c>
      <c r="AM18" s="69" t="s">
        <v>86</v>
      </c>
      <c r="AN18" s="69" t="s">
        <v>85</v>
      </c>
      <c r="AO18" s="69" t="s">
        <v>84</v>
      </c>
      <c r="AP18" s="65" t="s">
        <v>83</v>
      </c>
      <c r="AQ18" s="65" t="s">
        <v>82</v>
      </c>
      <c r="AR18" s="65" t="s">
        <v>81</v>
      </c>
      <c r="AS18" s="65" t="s">
        <v>80</v>
      </c>
      <c r="AT18" s="65" t="s">
        <v>79</v>
      </c>
      <c r="AU18" s="65" t="s">
        <v>78</v>
      </c>
      <c r="AV18" s="65" t="s">
        <v>77</v>
      </c>
      <c r="AW18" s="65" t="s">
        <v>76</v>
      </c>
      <c r="AX18" s="65" t="s">
        <v>75</v>
      </c>
      <c r="AY18" s="65" t="s">
        <v>74</v>
      </c>
      <c r="AZ18" s="65" t="s">
        <v>73</v>
      </c>
      <c r="BA18" s="68" t="s">
        <v>72</v>
      </c>
      <c r="BB18" s="67" t="s">
        <v>71</v>
      </c>
      <c r="BC18" s="7"/>
      <c r="BD18" s="66" t="s">
        <v>70</v>
      </c>
      <c r="BE18" s="65" t="s">
        <v>69</v>
      </c>
      <c r="BF18" s="65" t="s">
        <v>68</v>
      </c>
      <c r="BG18" s="64" t="s">
        <v>67</v>
      </c>
      <c r="BH18" s="7"/>
      <c r="BI18" s="7"/>
      <c r="BQ18" s="130"/>
      <c r="BR18" s="129"/>
      <c r="BS18" s="129"/>
      <c r="BT18" s="129"/>
      <c r="BU18" s="129"/>
      <c r="BV18" s="129"/>
      <c r="BW18" s="129"/>
      <c r="BX18" s="130"/>
      <c r="BY18" s="129"/>
      <c r="BZ18" s="129"/>
      <c r="CA18" s="129"/>
      <c r="CB18" s="129"/>
      <c r="CC18" s="129"/>
      <c r="CD18" s="129"/>
      <c r="CE18" s="111"/>
      <c r="CF18" s="129"/>
      <c r="CG18" s="129"/>
      <c r="CH18" s="129"/>
      <c r="CU18" s="5"/>
      <c r="CV18" s="5"/>
      <c r="CW18" s="5"/>
      <c r="CX18" s="5"/>
      <c r="CY18" s="5"/>
      <c r="CZ18" s="5"/>
      <c r="DA18" s="5"/>
      <c r="DB18" s="5"/>
      <c r="DC18" s="5"/>
    </row>
    <row r="19" spans="2:107" ht="12.75" customHeight="1" x14ac:dyDescent="0.25">
      <c r="B19" s="128">
        <f>Pb</f>
        <v>150</v>
      </c>
      <c r="C19" s="127">
        <f t="shared" ref="C19:C52" si="0">SQRT((Xh-Xj)^2+(Yh-Yj)^2)</f>
        <v>341.95400680900281</v>
      </c>
      <c r="D19" s="92">
        <f t="shared" ref="D19:D52" si="1">SQRT(Fxv^2+Fyv^2)</f>
        <v>22331.734277112533</v>
      </c>
      <c r="F19" s="441"/>
      <c r="G19" s="441"/>
      <c r="H19" s="441"/>
      <c r="I19" s="441"/>
      <c r="J19" s="441"/>
      <c r="K19" s="441"/>
      <c r="L19" s="441"/>
      <c r="M19" s="441"/>
      <c r="N19" s="441"/>
      <c r="O19" s="40"/>
      <c r="P19" s="40"/>
      <c r="Q19" s="108">
        <f t="shared" ref="Q19:Q52" si="2">(AD+TE)*SQRT(1-(P/(AD+2*DS+TE))^2)</f>
        <v>796.47661610369948</v>
      </c>
      <c r="R19" s="126">
        <f t="shared" ref="R19:R52" si="3">P</f>
        <v>150</v>
      </c>
      <c r="S19" s="96">
        <f t="shared" ref="S19:S52" si="4">2*Xd</f>
        <v>995.59577012962438</v>
      </c>
      <c r="T19" s="126">
        <f>0</f>
        <v>0</v>
      </c>
      <c r="U19" s="96">
        <f t="shared" ref="U19:U52" si="5">AD*SQRT(1-(P/(AD+2*DS+TE))^2)</f>
        <v>497.79788506481219</v>
      </c>
      <c r="V19" s="96">
        <f t="shared" ref="V19:V52" si="6">AD* P/(AD+2*DS+TE)</f>
        <v>46.875</v>
      </c>
      <c r="W19" s="96">
        <f t="shared" ref="W19:W52" si="7">(AD-TE)*SQRT(1-(P/(AD+2*DS+TE))^2)</f>
        <v>199.11915402592487</v>
      </c>
      <c r="X19" s="126">
        <f t="shared" ref="X19:X52" si="8">Yb</f>
        <v>150</v>
      </c>
      <c r="Y19" s="106">
        <f t="shared" ref="Y19:Y52" si="9">Xs+a*Xd/AD+ b*Yd/AD</f>
        <v>348.45851954536852</v>
      </c>
      <c r="Z19" s="105">
        <f t="shared" ref="Z19:Z52" si="10">Ys-a*Yd/AD + b*Xd/AD</f>
        <v>60.9375</v>
      </c>
      <c r="AA19" s="105">
        <f t="shared" ref="AA19:AA52" si="11">(AD+DS)*SQRT(1-(P/(AD+2*DS+TE))^2)</f>
        <v>896.03619311666193</v>
      </c>
      <c r="AB19" s="105">
        <f t="shared" ref="AB19:AB52" si="12">(AD+DS)* P/(AD+2*DS+TE)</f>
        <v>84.375</v>
      </c>
      <c r="AC19" s="105">
        <f t="shared" ref="AC19:AC52" si="13">(AD-DS)*SQRT(1-(P/(AD+2*DS+TE))^2)</f>
        <v>99.559577012962436</v>
      </c>
      <c r="AD19" s="105">
        <f t="shared" ref="AD19:AD52" si="14">Yr</f>
        <v>84.375</v>
      </c>
      <c r="AE19" s="105">
        <f t="shared" ref="AE19:AE52" si="15">Xd</f>
        <v>497.79788506481219</v>
      </c>
      <c r="AF19" s="105">
        <f t="shared" ref="AF19:AF52" si="16">(AD+2*DS)*P/(AD+2*DS+TE)</f>
        <v>121.875</v>
      </c>
      <c r="AG19" s="125">
        <f t="shared" ref="AG19:AG52" si="17" xml:space="preserve"> Xs + j*Xd/AD- k*Yd/AD</f>
        <v>448.01809655833102</v>
      </c>
      <c r="AH19" s="124">
        <f t="shared" ref="AH19:AH52" si="18">Xe+h*Xd/AD+ i*Yd/AD</f>
        <v>547.57767357129342</v>
      </c>
      <c r="AI19" s="103">
        <f t="shared" ref="AI19:AI52" si="19">f*Xd/AD - g*Yd/AD</f>
        <v>398.2383080518498</v>
      </c>
      <c r="AJ19" s="102">
        <f t="shared" ref="AJ19:AJ52" si="20">Xs +d*Xd/AD + e*Yd/AD</f>
        <v>597.35746207777458</v>
      </c>
      <c r="AK19" s="45"/>
      <c r="AL19" s="123"/>
      <c r="AM19" s="122">
        <f t="shared" ref="AM19:AM52" si="21">(Charge*EN + Pt*EM)/(Xb-Xe)</f>
        <v>-1180.1978626797677</v>
      </c>
      <c r="AN19" s="122"/>
      <c r="AO19" s="122">
        <f t="shared" ref="AO19:AO52" si="22" xml:space="preserve"> Charge+Pt-Fyb</f>
        <v>-1119.8021373202323</v>
      </c>
      <c r="AP19" s="122">
        <f t="shared" ref="AP19:AP52" si="23">-(Fxe*Xs*Yt-Fxe*Xr*Yt-Fxe*Xt*Ys-Fxb*Xt*Ys+Fxe*Xr*Ys+Fxb*Xr*Ys+Fxe*Xt*Ye-Fxe*Xs*Ye+Fxb*Xt*Yb-Fxb*Xr*Yb+_Pb1*Xs*Xt+Fyb*Xs*Xt+_Pb2*Xr*Xt+Fye*Xr*Xt-_Pb2*_Xg2*Xt-_Pb1*_Xg1*Xt-Fye*Xe*Xt-Fyb*Xb*Xt-_Pb2*Xr*Xs-_Pb1*Xr*Xs-Fye*Xr*Xs-Fyb*Xr*Xs+_Pb2*_Xg2*Xs+Fye*Xe*Xs+_Pb1*_Xg1*Xr+Fyb*Xb*Xr)/(Xs*Yt-Xr*Yt-Xt*Ys+Xr*Ys+Xt*Yr-Xs*Yr)</f>
        <v>-22208.422979024821</v>
      </c>
      <c r="AQ19" s="122">
        <f t="shared" ref="AQ19:AQ52" si="24">(Fxb*Ys*Yt+Fxe*Yr*Yt-Fxe*Ye*Yt-Fxb*Yb*Yt-_Pb2*Xs*Yt-_Pb1*Xs*Yt-Fye*Xs*Yt-Fyb*Xs*Yt+_Pb2*_Xg2*Yt+_Pb1*_Xg1*Yt+Fye*Xe*Yt+Fyb*Xb*Yt-Fxe*Yr*Ys-Fxb*Yr*Ys+Fxe*Ye*Ys+_Pb2*Xt*Ys+Fye*Xt*Ys-_Pb2*_Xg2*Ys-Fye*Xe*Ys+Fxb*Yb*Yr-_Pb2*Xt*Yr-Fye*Xt*Yr+_Pb2*Xs*Yr+_Pb1*Xs*Yr+Fye*Xs*Yr+Fyb*Xs*Yr-_Pb1*_Xg1*Yr-Fyb*Xb*Yr)/(Xs*Yt-Xr*Yt-Xt*Ys+Xr*Ys+Xt*Yr-Xs*Yr)</f>
        <v>1261.398397009825</v>
      </c>
      <c r="AR19" s="122">
        <f t="shared" ref="AR19:AR52" si="25" xml:space="preserve"> -Fxt-Fxb</f>
        <v>22208.422979024821</v>
      </c>
      <c r="AS19" s="122">
        <f t="shared" ref="AS19:AS52" si="26">-Fyt-Fyb-_Pb1</f>
        <v>1218.601602990175</v>
      </c>
      <c r="AT19" s="122">
        <f>Rxr+Fxe</f>
        <v>-22208.422979024821</v>
      </c>
      <c r="AU19" s="122">
        <f>Ryr+Fye+_Pb2</f>
        <v>61.596259689592671</v>
      </c>
      <c r="AV19" s="122">
        <f t="shared" ref="AV19:AV52" si="27" xml:space="preserve"> (Rxs*Xd*Yj*Ys-Rxs*Xd*Yh*Ys-Rxs*Xj*Yd*Ys+Rxs*Xh*Yd*Ys-Rxr*Xh*Yj*Yr+Rxr*Xd*Yj*Yr+Rxr*Xj*Yh*Yr-Rxr*Xd*Yh*Yr-Rxr*Xj*Yd*Yr+Rxr*Xh*Yd*Yr-Rxs*Xh*Yd*Yj-Rys*Xd*Xs*Yj+Ryr*Xh*Xr*Yj-Ryr*Xd*Xr*Yj-_Pb3*_Xg3*Xh*Yj+Rys*Xd*Xh*Yj-_Pb4*Xd*Xh*Yj+_Pb4*Xd*_Xg4*Yj+_Pb3*Xd*_Xg3*Yj+Rxs*Xj*Yd*Yh+Rys*Xd*Xs*Yh-Ryr*Xj*Xr*Yh+Ryr*Xd*Xr*Yh+_Pb3*_Xg3*Xj*Yh-Rys*Xd*Xj*Yh+_Pb4*Xd*Xj*Yh-_Pb4*Xd*_Xg4*Yh-_Pb3*Xd*_Xg3*Yh+Rys*Xj*Xs*Yd-Rys*Xh*Xs*Yd+Ryr*Xj*Xr*Yd-Ryr*Xh*Xr*Yd-_Pb4*_Xg4*Xj*Yd-_Pb3*_Xg3*Xj*Yd+_Pb4*_Xg4*Xh*Yd+_Pb3*_Xg3*Xh*Yd)/(Xd*Xh*Yj-Xc*Xd*Yj-Xd*Xj*Yh+Xc*Xd*Yh+Xc*Xj*Yd-Xc*Xh*Yd)</f>
        <v>152.329213848065</v>
      </c>
      <c r="AW19" s="122">
        <f t="shared" ref="AW19:AW52" si="28">Fyv*(Xh-Xj)/(Yh-Yj)</f>
        <v>21123.863339288135</v>
      </c>
      <c r="AX19" s="122">
        <f t="shared" ref="AX19:AX52" si="29" xml:space="preserve"> -((Yj-Yh)*(Rxs*Xd*Ys+Rxr*Xd*Yr-Rxr*Xc*Yr-Rxs*Xc*Yd-Rys*Xd*Xs-Ryr*Xd*Xr+Ryr*Xc*Xr+_Pb4*Xd*_Xg4+_Pb3*Xd*_Xg3-_Pb3*Xc*_Xg3+Rys*Xc*Xd-_Pb4*Xc*Xd))/(Xd*Xh*Yj-Xc*Xd*Yj-Xd*Xj*Yh+Xc*Xd*Yh+Xc*Xj*Yd-Xc*Xh*Yd)</f>
        <v>7244.9122456135719</v>
      </c>
      <c r="AY19" s="122">
        <f t="shared" ref="AY19:AY52" si="30" xml:space="preserve"> Fxv-Rxs</f>
        <v>-1084.5596397366862</v>
      </c>
      <c r="AZ19" s="122">
        <f t="shared" ref="AZ19:AZ52" si="31">Ryc+_Pb4+Fyv-Rys</f>
        <v>6028.6398564714618</v>
      </c>
      <c r="BA19" s="122">
        <f t="shared" ref="BA19:BA52" si="32">Rxr-Fxd</f>
        <v>-21123.863339288135</v>
      </c>
      <c r="BB19" s="121">
        <f t="shared" ref="BB19:BB52" si="33">Ryr-Fyd-_Pb3</f>
        <v>-4647.2414594616366</v>
      </c>
      <c r="BC19" s="7"/>
      <c r="BD19" s="120">
        <f t="shared" ref="BD19:BD52" si="34">ASIN(P/(AD+2*DS+TE))</f>
        <v>9.3887875107516477E-2</v>
      </c>
      <c r="BE19" s="119">
        <f t="shared" ref="BE19:BE52" si="35">ATAN((Yh-Yj)/(Xh-Xj))</f>
        <v>0.33040091431163626</v>
      </c>
      <c r="BF19" s="96">
        <f t="shared" ref="BF19:BF52" si="36">DEGREES(alpha)</f>
        <v>5.3793789911120742</v>
      </c>
      <c r="BG19" s="95">
        <f t="shared" ref="BG19:BG52" si="37">DEGREES(beta)</f>
        <v>18.930577937320319</v>
      </c>
      <c r="BH19" s="7"/>
      <c r="BI19" s="7"/>
      <c r="BQ19" s="6"/>
      <c r="BR19" s="118"/>
      <c r="BS19" s="117"/>
      <c r="BT19" s="117"/>
      <c r="BU19" s="117"/>
      <c r="BV19" s="118"/>
      <c r="BW19" s="118"/>
      <c r="BY19" s="118"/>
      <c r="BZ19" s="118"/>
      <c r="CA19" s="118"/>
      <c r="CB19" s="118"/>
      <c r="CC19" s="118"/>
      <c r="CD19" s="118"/>
      <c r="CE19" s="111"/>
      <c r="CF19" s="118"/>
      <c r="CG19" s="118"/>
      <c r="CH19" s="118"/>
      <c r="CU19" s="5"/>
      <c r="CV19" s="5"/>
      <c r="CW19" s="5"/>
      <c r="CX19" s="5"/>
      <c r="CY19" s="5"/>
      <c r="CZ19" s="5"/>
      <c r="DA19" s="5"/>
      <c r="DB19" s="5"/>
      <c r="DC19" s="5"/>
    </row>
    <row r="20" spans="2:107" ht="12.75" customHeight="1" x14ac:dyDescent="0.25">
      <c r="B20" s="110">
        <f t="shared" ref="B20:B52" si="38">B19+ROUNDUP((Ph-Pb)/33,0)</f>
        <v>185</v>
      </c>
      <c r="C20" s="109">
        <f t="shared" si="0"/>
        <v>346.07620661351712</v>
      </c>
      <c r="D20" s="92">
        <f t="shared" si="1"/>
        <v>20361.885968362942</v>
      </c>
      <c r="F20" s="441"/>
      <c r="G20" s="441"/>
      <c r="H20" s="441"/>
      <c r="I20" s="441"/>
      <c r="J20" s="441"/>
      <c r="K20" s="441"/>
      <c r="L20" s="441"/>
      <c r="M20" s="441"/>
      <c r="N20" s="441"/>
      <c r="O20" s="40"/>
      <c r="P20" s="40"/>
      <c r="Q20" s="108">
        <f t="shared" si="2"/>
        <v>794.63434987420476</v>
      </c>
      <c r="R20" s="107">
        <f t="shared" si="3"/>
        <v>185</v>
      </c>
      <c r="S20" s="100">
        <f t="shared" si="4"/>
        <v>993.29293734275598</v>
      </c>
      <c r="T20" s="107">
        <f>0</f>
        <v>0</v>
      </c>
      <c r="U20" s="96">
        <f t="shared" si="5"/>
        <v>496.64646867137799</v>
      </c>
      <c r="V20" s="96">
        <f t="shared" si="6"/>
        <v>57.8125</v>
      </c>
      <c r="W20" s="96">
        <f t="shared" si="7"/>
        <v>198.65858746855119</v>
      </c>
      <c r="X20" s="107">
        <f t="shared" si="8"/>
        <v>185</v>
      </c>
      <c r="Y20" s="106">
        <f t="shared" si="9"/>
        <v>347.6525280699646</v>
      </c>
      <c r="Z20" s="105">
        <f t="shared" si="10"/>
        <v>75.15625</v>
      </c>
      <c r="AA20" s="105">
        <f t="shared" si="11"/>
        <v>893.96364360848031</v>
      </c>
      <c r="AB20" s="105">
        <f t="shared" si="12"/>
        <v>104.0625</v>
      </c>
      <c r="AC20" s="105">
        <f t="shared" si="13"/>
        <v>99.329293734275595</v>
      </c>
      <c r="AD20" s="105">
        <f t="shared" si="14"/>
        <v>104.0625</v>
      </c>
      <c r="AE20" s="105">
        <f t="shared" si="15"/>
        <v>496.64646867137799</v>
      </c>
      <c r="AF20" s="105">
        <f t="shared" si="16"/>
        <v>150.3125</v>
      </c>
      <c r="AG20" s="103">
        <f t="shared" si="17"/>
        <v>446.98182180424021</v>
      </c>
      <c r="AH20" s="104">
        <f t="shared" si="18"/>
        <v>546.31111553851576</v>
      </c>
      <c r="AI20" s="103">
        <f t="shared" si="19"/>
        <v>397.31717493710238</v>
      </c>
      <c r="AJ20" s="102">
        <f t="shared" si="20"/>
        <v>595.97576240565354</v>
      </c>
      <c r="AK20" s="45"/>
      <c r="AL20" s="101"/>
      <c r="AM20" s="100">
        <f t="shared" si="21"/>
        <v>-1182.934012541501</v>
      </c>
      <c r="AN20" s="100"/>
      <c r="AO20" s="100">
        <f t="shared" si="22"/>
        <v>-1117.065987458499</v>
      </c>
      <c r="AP20" s="100">
        <f t="shared" si="23"/>
        <v>-17965.179288372223</v>
      </c>
      <c r="AQ20" s="100">
        <f t="shared" si="24"/>
        <v>1263.4505094061253</v>
      </c>
      <c r="AR20" s="100">
        <f t="shared" si="25"/>
        <v>17965.179288372223</v>
      </c>
      <c r="AS20" s="100">
        <f t="shared" si="26"/>
        <v>1216.5494905938747</v>
      </c>
      <c r="AT20" s="100">
        <f t="shared" ref="AT20:AT52" si="39">Rxr+Fxe</f>
        <v>-17965.179288372223</v>
      </c>
      <c r="AU20" s="100">
        <f t="shared" ref="AU20:AU52" si="40">Ryr+Fye+_Pb2</f>
        <v>66.384521947626354</v>
      </c>
      <c r="AV20" s="100">
        <f t="shared" si="27"/>
        <v>255.8284287814846</v>
      </c>
      <c r="AW20" s="100">
        <f t="shared" si="28"/>
        <v>18983.720517086935</v>
      </c>
      <c r="AX20" s="100">
        <f t="shared" si="29"/>
        <v>7363.7460247993477</v>
      </c>
      <c r="AY20" s="100">
        <f t="shared" si="30"/>
        <v>1018.5412287147119</v>
      </c>
      <c r="AZ20" s="100">
        <f t="shared" si="31"/>
        <v>6253.0249629869577</v>
      </c>
      <c r="BA20" s="100">
        <f t="shared" si="32"/>
        <v>-18983.720517086935</v>
      </c>
      <c r="BB20" s="99">
        <f t="shared" si="33"/>
        <v>-4869.5744535808326</v>
      </c>
      <c r="BC20" s="7"/>
      <c r="BD20" s="98">
        <f t="shared" si="34"/>
        <v>0.11588419688664643</v>
      </c>
      <c r="BE20" s="97">
        <f t="shared" si="35"/>
        <v>0.37003022755017434</v>
      </c>
      <c r="BF20" s="96">
        <f t="shared" si="36"/>
        <v>6.6396753938679147</v>
      </c>
      <c r="BG20" s="95">
        <f t="shared" si="37"/>
        <v>21.20117033089047</v>
      </c>
      <c r="BH20" s="7"/>
      <c r="BI20" s="7"/>
      <c r="BQ20" s="111"/>
      <c r="BR20" s="111"/>
      <c r="BS20" s="111"/>
      <c r="BT20" s="111"/>
      <c r="BU20" s="111"/>
      <c r="BV20" s="111"/>
      <c r="BW20" s="111"/>
      <c r="BX20" s="111"/>
      <c r="BY20" s="111"/>
      <c r="BZ20" s="111"/>
      <c r="CA20" s="111"/>
      <c r="CB20" s="111"/>
      <c r="CC20" s="111"/>
      <c r="CD20" s="111"/>
      <c r="CE20" s="111"/>
      <c r="CF20" s="117"/>
      <c r="CG20" s="117"/>
      <c r="CH20" s="117"/>
      <c r="CU20" s="5"/>
      <c r="CV20" s="5"/>
      <c r="CW20" s="5"/>
      <c r="CX20" s="5"/>
      <c r="CY20" s="5"/>
      <c r="CZ20" s="5"/>
      <c r="DA20" s="5"/>
      <c r="DB20" s="5"/>
      <c r="DC20" s="5"/>
    </row>
    <row r="21" spans="2:107" x14ac:dyDescent="0.25">
      <c r="B21" s="110">
        <f t="shared" si="38"/>
        <v>220</v>
      </c>
      <c r="C21" s="109">
        <f t="shared" si="0"/>
        <v>350.5718101634809</v>
      </c>
      <c r="D21" s="92">
        <f t="shared" si="1"/>
        <v>18766.771355248686</v>
      </c>
      <c r="F21" s="116"/>
      <c r="G21" s="116"/>
      <c r="H21" s="116"/>
      <c r="I21" s="116"/>
      <c r="J21" s="116"/>
      <c r="K21" s="116"/>
      <c r="L21" s="7"/>
      <c r="M21" s="7"/>
      <c r="O21" s="40"/>
      <c r="P21" s="40"/>
      <c r="Q21" s="108">
        <f t="shared" si="2"/>
        <v>792.40141342630125</v>
      </c>
      <c r="R21" s="107">
        <f t="shared" si="3"/>
        <v>220</v>
      </c>
      <c r="S21" s="100">
        <f t="shared" si="4"/>
        <v>990.50176678287664</v>
      </c>
      <c r="T21" s="107">
        <f>0</f>
        <v>0</v>
      </c>
      <c r="U21" s="96">
        <f t="shared" si="5"/>
        <v>495.25088339143832</v>
      </c>
      <c r="V21" s="96">
        <f t="shared" si="6"/>
        <v>68.75</v>
      </c>
      <c r="W21" s="96">
        <f t="shared" si="7"/>
        <v>198.10035335657531</v>
      </c>
      <c r="X21" s="107">
        <f t="shared" si="8"/>
        <v>220</v>
      </c>
      <c r="Y21" s="106">
        <f t="shared" si="9"/>
        <v>346.67561837400683</v>
      </c>
      <c r="Z21" s="105">
        <f t="shared" si="10"/>
        <v>89.375</v>
      </c>
      <c r="AA21" s="105">
        <f t="shared" si="11"/>
        <v>891.45159010458894</v>
      </c>
      <c r="AB21" s="105">
        <f t="shared" si="12"/>
        <v>123.75</v>
      </c>
      <c r="AC21" s="105">
        <f t="shared" si="13"/>
        <v>99.050176678287656</v>
      </c>
      <c r="AD21" s="105">
        <f t="shared" si="14"/>
        <v>123.75</v>
      </c>
      <c r="AE21" s="105">
        <f t="shared" si="15"/>
        <v>495.25088339143832</v>
      </c>
      <c r="AF21" s="105">
        <f t="shared" si="16"/>
        <v>178.75</v>
      </c>
      <c r="AG21" s="103">
        <f t="shared" si="17"/>
        <v>445.72579505229447</v>
      </c>
      <c r="AH21" s="104">
        <f t="shared" si="18"/>
        <v>544.77597173058211</v>
      </c>
      <c r="AI21" s="103">
        <f t="shared" si="19"/>
        <v>396.20070671315068</v>
      </c>
      <c r="AJ21" s="102">
        <f t="shared" si="20"/>
        <v>594.30106006972596</v>
      </c>
      <c r="AK21" s="45"/>
      <c r="AL21" s="101"/>
      <c r="AM21" s="100">
        <f t="shared" si="21"/>
        <v>-1186.2674448490575</v>
      </c>
      <c r="AN21" s="100"/>
      <c r="AO21" s="100">
        <f t="shared" si="22"/>
        <v>-1113.7325551509425</v>
      </c>
      <c r="AP21" s="100">
        <f t="shared" si="23"/>
        <v>-15064.631416615919</v>
      </c>
      <c r="AQ21" s="100">
        <f t="shared" si="24"/>
        <v>1265.9505836367921</v>
      </c>
      <c r="AR21" s="100">
        <f t="shared" si="25"/>
        <v>15064.631416615919</v>
      </c>
      <c r="AS21" s="100">
        <f t="shared" si="26"/>
        <v>1214.0494163632079</v>
      </c>
      <c r="AT21" s="100">
        <f t="shared" si="39"/>
        <v>-15064.631416615919</v>
      </c>
      <c r="AU21" s="100">
        <f t="shared" si="40"/>
        <v>72.218028485849572</v>
      </c>
      <c r="AV21" s="100">
        <f t="shared" si="27"/>
        <v>341.19510681075377</v>
      </c>
      <c r="AW21" s="100">
        <f t="shared" si="28"/>
        <v>17219.903613379793</v>
      </c>
      <c r="AX21" s="100">
        <f t="shared" si="29"/>
        <v>7461.0070798848701</v>
      </c>
      <c r="AY21" s="100">
        <f t="shared" si="30"/>
        <v>2155.2721967638736</v>
      </c>
      <c r="AZ21" s="100">
        <f t="shared" si="31"/>
        <v>6438.1527703324155</v>
      </c>
      <c r="BA21" s="100">
        <f t="shared" si="32"/>
        <v>-17219.903613379793</v>
      </c>
      <c r="BB21" s="99">
        <f t="shared" si="33"/>
        <v>-5052.2021866956238</v>
      </c>
      <c r="BC21" s="7"/>
      <c r="BD21" s="98">
        <f t="shared" si="34"/>
        <v>0.13793699641838458</v>
      </c>
      <c r="BE21" s="97">
        <f t="shared" si="35"/>
        <v>0.40886132465970598</v>
      </c>
      <c r="BF21" s="96">
        <f t="shared" si="36"/>
        <v>7.9032077334845887</v>
      </c>
      <c r="BG21" s="95">
        <f t="shared" si="37"/>
        <v>23.426028309129283</v>
      </c>
      <c r="BH21" s="7"/>
      <c r="BI21" s="7"/>
      <c r="BQ21" s="111"/>
      <c r="BR21" s="111"/>
      <c r="BS21" s="111"/>
      <c r="BT21" s="111"/>
      <c r="BU21" s="111"/>
      <c r="BV21" s="111"/>
      <c r="BW21" s="111"/>
      <c r="BX21" s="111"/>
      <c r="BY21" s="111"/>
      <c r="BZ21" s="111"/>
      <c r="CA21" s="111"/>
      <c r="CB21" s="111"/>
      <c r="CC21" s="111"/>
      <c r="CD21" s="111"/>
      <c r="CE21" s="111"/>
      <c r="CU21" s="5"/>
      <c r="CV21" s="5"/>
      <c r="CW21" s="5"/>
      <c r="CX21" s="5"/>
      <c r="CY21" s="5"/>
      <c r="CZ21" s="5"/>
      <c r="DA21" s="5"/>
      <c r="DB21" s="5"/>
      <c r="DC21" s="5"/>
    </row>
    <row r="22" spans="2:107" ht="12.75" customHeight="1" x14ac:dyDescent="0.25">
      <c r="B22" s="110">
        <f t="shared" si="38"/>
        <v>255</v>
      </c>
      <c r="C22" s="109">
        <f t="shared" si="0"/>
        <v>355.42675075219637</v>
      </c>
      <c r="D22" s="92">
        <f t="shared" si="1"/>
        <v>17452.750521867107</v>
      </c>
      <c r="F22" s="442" t="s">
        <v>137</v>
      </c>
      <c r="G22" s="442"/>
      <c r="H22" s="442"/>
      <c r="I22" s="442"/>
      <c r="J22" s="442"/>
      <c r="K22" s="442"/>
      <c r="L22" s="442"/>
      <c r="M22" s="442"/>
      <c r="N22" s="442"/>
      <c r="O22" s="40"/>
      <c r="P22" s="40"/>
      <c r="Q22" s="108">
        <f t="shared" si="2"/>
        <v>789.77449313079239</v>
      </c>
      <c r="R22" s="107">
        <f t="shared" si="3"/>
        <v>255</v>
      </c>
      <c r="S22" s="100">
        <f t="shared" si="4"/>
        <v>987.21811641349041</v>
      </c>
      <c r="T22" s="107">
        <f>0</f>
        <v>0</v>
      </c>
      <c r="U22" s="96">
        <f t="shared" si="5"/>
        <v>493.6090582067452</v>
      </c>
      <c r="V22" s="96">
        <f t="shared" si="6"/>
        <v>79.6875</v>
      </c>
      <c r="W22" s="96">
        <f t="shared" si="7"/>
        <v>197.4436232826981</v>
      </c>
      <c r="X22" s="107">
        <f t="shared" si="8"/>
        <v>255</v>
      </c>
      <c r="Y22" s="106">
        <f t="shared" si="9"/>
        <v>345.52634074472167</v>
      </c>
      <c r="Z22" s="105">
        <f t="shared" si="10"/>
        <v>103.59375</v>
      </c>
      <c r="AA22" s="105">
        <f t="shared" si="11"/>
        <v>888.49630477214134</v>
      </c>
      <c r="AB22" s="105">
        <f t="shared" si="12"/>
        <v>143.4375</v>
      </c>
      <c r="AC22" s="105">
        <f t="shared" si="13"/>
        <v>98.721811641349049</v>
      </c>
      <c r="AD22" s="105">
        <f t="shared" si="14"/>
        <v>143.4375</v>
      </c>
      <c r="AE22" s="105">
        <f t="shared" si="15"/>
        <v>493.6090582067452</v>
      </c>
      <c r="AF22" s="105">
        <f t="shared" si="16"/>
        <v>207.1875</v>
      </c>
      <c r="AG22" s="103">
        <f t="shared" si="17"/>
        <v>444.24815238607073</v>
      </c>
      <c r="AH22" s="104">
        <f t="shared" si="18"/>
        <v>542.96996402741979</v>
      </c>
      <c r="AI22" s="103">
        <f t="shared" si="19"/>
        <v>394.88724656539614</v>
      </c>
      <c r="AJ22" s="102">
        <f t="shared" si="20"/>
        <v>592.33086984809427</v>
      </c>
      <c r="AK22" s="45"/>
      <c r="AL22" s="101"/>
      <c r="AM22" s="100">
        <f t="shared" si="21"/>
        <v>-1190.2131661326384</v>
      </c>
      <c r="AN22" s="100"/>
      <c r="AO22" s="100">
        <f t="shared" si="22"/>
        <v>-1109.7868338673616</v>
      </c>
      <c r="AP22" s="100">
        <f t="shared" si="23"/>
        <v>-12953.850264782508</v>
      </c>
      <c r="AQ22" s="100">
        <f t="shared" si="24"/>
        <v>1268.9098745994781</v>
      </c>
      <c r="AR22" s="100">
        <f t="shared" si="25"/>
        <v>12953.850264782508</v>
      </c>
      <c r="AS22" s="100">
        <f t="shared" si="26"/>
        <v>1211.0901254005219</v>
      </c>
      <c r="AT22" s="100">
        <f t="shared" si="39"/>
        <v>-12953.850264782508</v>
      </c>
      <c r="AU22" s="100">
        <f t="shared" si="40"/>
        <v>79.123040732116579</v>
      </c>
      <c r="AV22" s="100">
        <f t="shared" si="27"/>
        <v>412.99672980308947</v>
      </c>
      <c r="AW22" s="100">
        <f t="shared" si="28"/>
        <v>15739.013028326561</v>
      </c>
      <c r="AX22" s="100">
        <f t="shared" si="29"/>
        <v>7542.0136351440942</v>
      </c>
      <c r="AY22" s="100">
        <f t="shared" si="30"/>
        <v>2785.1627635440527</v>
      </c>
      <c r="AZ22" s="100">
        <f t="shared" si="31"/>
        <v>6593.9202395466618</v>
      </c>
      <c r="BA22" s="100">
        <f t="shared" si="32"/>
        <v>-15739.013028326561</v>
      </c>
      <c r="BB22" s="99">
        <f t="shared" si="33"/>
        <v>-5205.0103649471839</v>
      </c>
      <c r="BC22" s="7"/>
      <c r="BD22" s="98">
        <f t="shared" si="34"/>
        <v>0.16005752844393106</v>
      </c>
      <c r="BE22" s="97">
        <f t="shared" si="35"/>
        <v>0.44686330390840701</v>
      </c>
      <c r="BF22" s="96">
        <f t="shared" si="36"/>
        <v>9.1706208591323772</v>
      </c>
      <c r="BG22" s="95">
        <f t="shared" si="37"/>
        <v>25.603381333223584</v>
      </c>
      <c r="BH22" s="7"/>
      <c r="BI22" s="7"/>
      <c r="BQ22" s="111"/>
      <c r="BR22" s="111"/>
      <c r="BS22" s="111"/>
      <c r="BT22" s="111"/>
      <c r="BU22" s="111"/>
      <c r="BV22" s="111"/>
      <c r="BW22" s="111"/>
      <c r="BX22" s="111"/>
      <c r="BY22" s="111"/>
      <c r="BZ22" s="111"/>
      <c r="CA22" s="111"/>
      <c r="CB22" s="111"/>
      <c r="CC22" s="111"/>
      <c r="CD22" s="111"/>
      <c r="CE22" s="111"/>
      <c r="CU22" s="5"/>
      <c r="CV22" s="5"/>
      <c r="CW22" s="5"/>
      <c r="CX22" s="5"/>
      <c r="CY22" s="5"/>
      <c r="CZ22" s="5"/>
      <c r="DA22" s="5"/>
      <c r="DB22" s="5"/>
      <c r="DC22" s="5"/>
    </row>
    <row r="23" spans="2:107" x14ac:dyDescent="0.25">
      <c r="B23" s="110">
        <f t="shared" si="38"/>
        <v>290</v>
      </c>
      <c r="C23" s="109">
        <f t="shared" si="0"/>
        <v>360.62663562187055</v>
      </c>
      <c r="D23" s="92">
        <f t="shared" si="1"/>
        <v>16354.765059274332</v>
      </c>
      <c r="E23" s="114"/>
      <c r="F23" s="115"/>
      <c r="M23" s="113"/>
      <c r="N23" s="113"/>
      <c r="O23" s="16"/>
      <c r="P23" s="16"/>
      <c r="Q23" s="108">
        <f t="shared" si="2"/>
        <v>786.7496425166014</v>
      </c>
      <c r="R23" s="107">
        <f t="shared" si="3"/>
        <v>290</v>
      </c>
      <c r="S23" s="100">
        <f t="shared" si="4"/>
        <v>983.43705314575175</v>
      </c>
      <c r="T23" s="107">
        <f>0</f>
        <v>0</v>
      </c>
      <c r="U23" s="96">
        <f t="shared" si="5"/>
        <v>491.71852657287587</v>
      </c>
      <c r="V23" s="96">
        <f t="shared" si="6"/>
        <v>90.625</v>
      </c>
      <c r="W23" s="96">
        <f t="shared" si="7"/>
        <v>196.68741062915035</v>
      </c>
      <c r="X23" s="107">
        <f t="shared" si="8"/>
        <v>290</v>
      </c>
      <c r="Y23" s="106">
        <f t="shared" si="9"/>
        <v>344.20296860101314</v>
      </c>
      <c r="Z23" s="105">
        <f t="shared" si="10"/>
        <v>117.8125</v>
      </c>
      <c r="AA23" s="105">
        <f t="shared" si="11"/>
        <v>885.09334783117652</v>
      </c>
      <c r="AB23" s="105">
        <f t="shared" si="12"/>
        <v>163.125</v>
      </c>
      <c r="AC23" s="105">
        <f t="shared" si="13"/>
        <v>98.343705314575175</v>
      </c>
      <c r="AD23" s="105">
        <f t="shared" si="14"/>
        <v>163.125</v>
      </c>
      <c r="AE23" s="105">
        <f t="shared" si="15"/>
        <v>491.71852657287587</v>
      </c>
      <c r="AF23" s="105">
        <f t="shared" si="16"/>
        <v>235.625</v>
      </c>
      <c r="AG23" s="103">
        <f t="shared" si="17"/>
        <v>442.54667391558831</v>
      </c>
      <c r="AH23" s="104">
        <f t="shared" si="18"/>
        <v>540.89037923016349</v>
      </c>
      <c r="AI23" s="103">
        <f t="shared" si="19"/>
        <v>393.3748212583007</v>
      </c>
      <c r="AJ23" s="102">
        <f t="shared" si="20"/>
        <v>590.06223188745105</v>
      </c>
      <c r="AK23" s="45"/>
      <c r="AL23" s="101"/>
      <c r="AM23" s="100">
        <f t="shared" si="21"/>
        <v>-1194.789230527251</v>
      </c>
      <c r="AN23" s="100"/>
      <c r="AO23" s="100">
        <f t="shared" si="22"/>
        <v>-1105.210769472749</v>
      </c>
      <c r="AP23" s="100">
        <f t="shared" si="23"/>
        <v>-11346.828895950641</v>
      </c>
      <c r="AQ23" s="100">
        <f t="shared" si="24"/>
        <v>1272.341922895439</v>
      </c>
      <c r="AR23" s="100">
        <f t="shared" si="25"/>
        <v>11346.828895950641</v>
      </c>
      <c r="AS23" s="100">
        <f t="shared" si="26"/>
        <v>1207.658077104561</v>
      </c>
      <c r="AT23" s="100">
        <f t="shared" si="39"/>
        <v>-11346.828895950641</v>
      </c>
      <c r="AU23" s="100">
        <f t="shared" si="40"/>
        <v>87.131153422689977</v>
      </c>
      <c r="AV23" s="100">
        <f t="shared" si="27"/>
        <v>474.40931729670615</v>
      </c>
      <c r="AW23" s="100">
        <f t="shared" si="28"/>
        <v>14476.161886074202</v>
      </c>
      <c r="AX23" s="100">
        <f t="shared" si="29"/>
        <v>7610.4584088104139</v>
      </c>
      <c r="AY23" s="100">
        <f t="shared" si="30"/>
        <v>3129.3329901235611</v>
      </c>
      <c r="AZ23" s="100">
        <f t="shared" si="31"/>
        <v>6727.2096490025588</v>
      </c>
      <c r="BA23" s="100">
        <f t="shared" si="32"/>
        <v>-14476.161886074202</v>
      </c>
      <c r="BB23" s="99">
        <f t="shared" si="33"/>
        <v>-5334.8677261071198</v>
      </c>
      <c r="BC23" s="7"/>
      <c r="BD23" s="98">
        <f t="shared" si="34"/>
        <v>0.18225735511912908</v>
      </c>
      <c r="BE23" s="97">
        <f t="shared" si="35"/>
        <v>0.4840140010530517</v>
      </c>
      <c r="BF23" s="96">
        <f t="shared" si="36"/>
        <v>10.442577233543165</v>
      </c>
      <c r="BG23" s="95">
        <f t="shared" si="37"/>
        <v>27.731959485580447</v>
      </c>
      <c r="BH23" s="7"/>
      <c r="BI23" s="7"/>
      <c r="BQ23" s="111"/>
      <c r="BR23" s="111"/>
      <c r="BS23" s="111"/>
      <c r="BT23" s="111"/>
      <c r="BU23" s="111"/>
      <c r="BV23" s="111"/>
      <c r="BW23" s="111"/>
      <c r="BX23" s="111"/>
      <c r="BY23" s="111"/>
      <c r="BZ23" s="111"/>
      <c r="CA23" s="111"/>
      <c r="CB23" s="111"/>
      <c r="CC23" s="111"/>
      <c r="CD23" s="111"/>
      <c r="CE23" s="111"/>
      <c r="CU23" s="5"/>
      <c r="CV23" s="5"/>
      <c r="CW23" s="5"/>
      <c r="CX23" s="5"/>
      <c r="CY23" s="5"/>
      <c r="CZ23" s="5"/>
      <c r="DA23" s="5"/>
      <c r="DB23" s="5"/>
      <c r="DC23" s="5"/>
    </row>
    <row r="24" spans="2:107" x14ac:dyDescent="0.25">
      <c r="B24" s="110">
        <f t="shared" si="38"/>
        <v>325</v>
      </c>
      <c r="C24" s="109">
        <f t="shared" si="0"/>
        <v>366.15690684688605</v>
      </c>
      <c r="D24" s="92">
        <f t="shared" si="1"/>
        <v>15426.207285036606</v>
      </c>
      <c r="E24" s="114"/>
      <c r="F24" s="432" t="s">
        <v>136</v>
      </c>
      <c r="G24" s="432"/>
      <c r="H24" s="432"/>
      <c r="I24" s="432"/>
      <c r="J24" s="432"/>
      <c r="K24" s="432"/>
      <c r="L24" s="432"/>
      <c r="M24" s="432"/>
      <c r="N24" s="432"/>
      <c r="O24" s="40"/>
      <c r="P24" s="40"/>
      <c r="Q24" s="108">
        <f t="shared" si="2"/>
        <v>783.32225169466494</v>
      </c>
      <c r="R24" s="107">
        <f t="shared" si="3"/>
        <v>325</v>
      </c>
      <c r="S24" s="100">
        <f t="shared" si="4"/>
        <v>979.15281461833115</v>
      </c>
      <c r="T24" s="107">
        <f>0</f>
        <v>0</v>
      </c>
      <c r="U24" s="96">
        <f t="shared" si="5"/>
        <v>489.57640730916557</v>
      </c>
      <c r="V24" s="96">
        <f t="shared" si="6"/>
        <v>101.5625</v>
      </c>
      <c r="W24" s="96">
        <f t="shared" si="7"/>
        <v>195.83056292366624</v>
      </c>
      <c r="X24" s="107">
        <f t="shared" si="8"/>
        <v>325</v>
      </c>
      <c r="Y24" s="106">
        <f t="shared" si="9"/>
        <v>342.70348511641589</v>
      </c>
      <c r="Z24" s="105">
        <f t="shared" si="10"/>
        <v>132.03125</v>
      </c>
      <c r="AA24" s="105">
        <f t="shared" si="11"/>
        <v>881.23753315649799</v>
      </c>
      <c r="AB24" s="105">
        <f t="shared" si="12"/>
        <v>182.8125</v>
      </c>
      <c r="AC24" s="105">
        <f t="shared" si="13"/>
        <v>97.915281461833118</v>
      </c>
      <c r="AD24" s="105">
        <f t="shared" si="14"/>
        <v>182.8125</v>
      </c>
      <c r="AE24" s="105">
        <f t="shared" si="15"/>
        <v>489.57640730916557</v>
      </c>
      <c r="AF24" s="105">
        <f t="shared" si="16"/>
        <v>264.0625</v>
      </c>
      <c r="AG24" s="103">
        <f t="shared" si="17"/>
        <v>440.61876657824899</v>
      </c>
      <c r="AH24" s="104">
        <f t="shared" si="18"/>
        <v>538.5340480400821</v>
      </c>
      <c r="AI24" s="103">
        <f t="shared" si="19"/>
        <v>391.66112584733247</v>
      </c>
      <c r="AJ24" s="102">
        <f t="shared" si="20"/>
        <v>587.49168877099873</v>
      </c>
      <c r="AK24" s="45"/>
      <c r="AL24" s="101"/>
      <c r="AM24" s="100">
        <f t="shared" si="21"/>
        <v>-1200.0169763674826</v>
      </c>
      <c r="AN24" s="100"/>
      <c r="AO24" s="100">
        <f t="shared" si="22"/>
        <v>-1099.9830236325174</v>
      </c>
      <c r="AP24" s="100">
        <f t="shared" si="23"/>
        <v>-10080.75482373211</v>
      </c>
      <c r="AQ24" s="100">
        <f t="shared" si="24"/>
        <v>1276.2627322756125</v>
      </c>
      <c r="AR24" s="100">
        <f t="shared" si="25"/>
        <v>10080.75482373211</v>
      </c>
      <c r="AS24" s="100">
        <f t="shared" si="26"/>
        <v>1203.7372677243875</v>
      </c>
      <c r="AT24" s="100">
        <f t="shared" si="39"/>
        <v>-10080.75482373211</v>
      </c>
      <c r="AU24" s="100">
        <f t="shared" si="40"/>
        <v>96.279708643095091</v>
      </c>
      <c r="AV24" s="100">
        <f t="shared" si="27"/>
        <v>527.71154088514925</v>
      </c>
      <c r="AW24" s="100">
        <f t="shared" si="28"/>
        <v>13384.862404449421</v>
      </c>
      <c r="AX24" s="100">
        <f t="shared" si="29"/>
        <v>7668.9849142421026</v>
      </c>
      <c r="AY24" s="100">
        <f t="shared" si="30"/>
        <v>3304.1075807173111</v>
      </c>
      <c r="AZ24" s="100">
        <f t="shared" si="31"/>
        <v>6842.9591874028647</v>
      </c>
      <c r="BA24" s="100">
        <f t="shared" si="32"/>
        <v>-13384.862404449421</v>
      </c>
      <c r="BB24" s="99">
        <f t="shared" si="33"/>
        <v>-5446.6964551272522</v>
      </c>
      <c r="BC24" s="7"/>
      <c r="BD24" s="98">
        <f t="shared" si="34"/>
        <v>0.20454840488055165</v>
      </c>
      <c r="BE24" s="97">
        <f t="shared" si="35"/>
        <v>0.52029948519939306</v>
      </c>
      <c r="BF24" s="96">
        <f t="shared" si="36"/>
        <v>11.71976030578878</v>
      </c>
      <c r="BG24" s="95">
        <f t="shared" si="37"/>
        <v>29.810964584754664</v>
      </c>
      <c r="BH24" s="7"/>
      <c r="BI24" s="7"/>
      <c r="BQ24" s="111"/>
      <c r="BR24" s="111"/>
      <c r="BS24" s="111"/>
      <c r="BT24" s="111"/>
      <c r="BU24" s="111"/>
      <c r="BV24" s="111"/>
      <c r="BW24" s="111"/>
      <c r="BX24" s="111"/>
      <c r="BY24" s="111"/>
      <c r="BZ24" s="111"/>
      <c r="CA24" s="111"/>
      <c r="CB24" s="111"/>
      <c r="CC24" s="111"/>
      <c r="CD24" s="111"/>
      <c r="CE24" s="111"/>
      <c r="CU24" s="5"/>
      <c r="CV24" s="5"/>
      <c r="CW24" s="5"/>
      <c r="CX24" s="5"/>
      <c r="CY24" s="5"/>
      <c r="CZ24" s="5"/>
      <c r="DA24" s="5"/>
      <c r="DB24" s="5"/>
      <c r="DC24" s="5"/>
    </row>
    <row r="25" spans="2:107" x14ac:dyDescent="0.25">
      <c r="B25" s="110">
        <f t="shared" si="38"/>
        <v>360</v>
      </c>
      <c r="C25" s="109">
        <f t="shared" si="0"/>
        <v>372.00298606171572</v>
      </c>
      <c r="D25" s="92">
        <f t="shared" si="1"/>
        <v>14632.81507393534</v>
      </c>
      <c r="E25" s="114"/>
      <c r="F25" s="115"/>
      <c r="G25" s="114"/>
      <c r="H25" s="114"/>
      <c r="I25" s="114"/>
      <c r="J25" s="113"/>
      <c r="K25" s="113"/>
      <c r="L25" s="113"/>
      <c r="M25" s="113"/>
      <c r="N25" s="113"/>
      <c r="O25" s="40"/>
      <c r="P25" s="40"/>
      <c r="Q25" s="108">
        <f t="shared" si="2"/>
        <v>779.48701079620309</v>
      </c>
      <c r="R25" s="107">
        <f t="shared" si="3"/>
        <v>360</v>
      </c>
      <c r="S25" s="100">
        <f t="shared" si="4"/>
        <v>974.35876349525381</v>
      </c>
      <c r="T25" s="107">
        <f>0</f>
        <v>0</v>
      </c>
      <c r="U25" s="96">
        <f t="shared" si="5"/>
        <v>487.17938174762691</v>
      </c>
      <c r="V25" s="96">
        <f t="shared" si="6"/>
        <v>112.5</v>
      </c>
      <c r="W25" s="96">
        <f t="shared" si="7"/>
        <v>194.87175269905077</v>
      </c>
      <c r="X25" s="107">
        <f t="shared" si="8"/>
        <v>360</v>
      </c>
      <c r="Y25" s="106">
        <f t="shared" si="9"/>
        <v>341.02556722333884</v>
      </c>
      <c r="Z25" s="105">
        <f t="shared" si="10"/>
        <v>146.25</v>
      </c>
      <c r="AA25" s="105">
        <f t="shared" si="11"/>
        <v>876.92288714572851</v>
      </c>
      <c r="AB25" s="105">
        <f t="shared" si="12"/>
        <v>202.5</v>
      </c>
      <c r="AC25" s="105">
        <f t="shared" si="13"/>
        <v>97.435876349525387</v>
      </c>
      <c r="AD25" s="105">
        <f t="shared" si="14"/>
        <v>202.5</v>
      </c>
      <c r="AE25" s="105">
        <f t="shared" si="15"/>
        <v>487.17938174762691</v>
      </c>
      <c r="AF25" s="105">
        <f t="shared" si="16"/>
        <v>292.5</v>
      </c>
      <c r="AG25" s="103">
        <f t="shared" si="17"/>
        <v>438.46144357286425</v>
      </c>
      <c r="AH25" s="104">
        <f t="shared" si="18"/>
        <v>535.89731992238967</v>
      </c>
      <c r="AI25" s="103">
        <f t="shared" si="19"/>
        <v>389.74350539810155</v>
      </c>
      <c r="AJ25" s="102">
        <f t="shared" si="20"/>
        <v>584.61525809715226</v>
      </c>
      <c r="AK25" s="45"/>
      <c r="AL25" s="101"/>
      <c r="AM25" s="100">
        <f t="shared" si="21"/>
        <v>-1205.9213136083458</v>
      </c>
      <c r="AN25" s="100"/>
      <c r="AO25" s="100">
        <f t="shared" si="22"/>
        <v>-1094.0786863916542</v>
      </c>
      <c r="AP25" s="100">
        <f t="shared" si="23"/>
        <v>-9056.1233962642182</v>
      </c>
      <c r="AQ25" s="100">
        <f t="shared" si="24"/>
        <v>1280.6909852062593</v>
      </c>
      <c r="AR25" s="100">
        <f t="shared" si="25"/>
        <v>9056.1233962642182</v>
      </c>
      <c r="AS25" s="100">
        <f t="shared" si="26"/>
        <v>1199.3090147937407</v>
      </c>
      <c r="AT25" s="100">
        <f t="shared" si="39"/>
        <v>-9056.1233962642182</v>
      </c>
      <c r="AU25" s="100">
        <f t="shared" si="40"/>
        <v>106.61229881460508</v>
      </c>
      <c r="AV25" s="100">
        <f t="shared" si="27"/>
        <v>574.5825283788073</v>
      </c>
      <c r="AW25" s="100">
        <f t="shared" si="28"/>
        <v>12430.931624423722</v>
      </c>
      <c r="AX25" s="100">
        <f t="shared" si="29"/>
        <v>7719.5346969161001</v>
      </c>
      <c r="AY25" s="100">
        <f t="shared" si="30"/>
        <v>3374.8082281595034</v>
      </c>
      <c r="AZ25" s="100">
        <f t="shared" si="31"/>
        <v>6944.8082105011663</v>
      </c>
      <c r="BA25" s="100">
        <f t="shared" si="32"/>
        <v>-12430.931624423722</v>
      </c>
      <c r="BB25" s="99">
        <f t="shared" si="33"/>
        <v>-5544.1172252949073</v>
      </c>
      <c r="BC25" s="7"/>
      <c r="BD25" s="98">
        <f t="shared" si="34"/>
        <v>0.22694303617851994</v>
      </c>
      <c r="BE25" s="97">
        <f t="shared" si="35"/>
        <v>0.55571345148863893</v>
      </c>
      <c r="BF25" s="96">
        <f t="shared" si="36"/>
        <v>13.002878162913943</v>
      </c>
      <c r="BG25" s="95">
        <f t="shared" si="37"/>
        <v>31.840035388947026</v>
      </c>
      <c r="BH25" s="7"/>
      <c r="BI25" s="7"/>
      <c r="BQ25" s="111"/>
      <c r="BR25" s="111"/>
      <c r="BS25" s="111"/>
      <c r="BT25" s="111"/>
      <c r="BU25" s="111"/>
      <c r="BV25" s="111"/>
      <c r="BW25" s="111"/>
      <c r="BX25" s="111"/>
      <c r="BY25" s="111"/>
      <c r="BZ25" s="111"/>
      <c r="CA25" s="111"/>
      <c r="CB25" s="111"/>
      <c r="CC25" s="111"/>
      <c r="CD25" s="111"/>
      <c r="CE25" s="111"/>
      <c r="CU25" s="5"/>
      <c r="CV25" s="5"/>
      <c r="CW25" s="5"/>
      <c r="CX25" s="5"/>
      <c r="CY25" s="5"/>
      <c r="CZ25" s="5"/>
      <c r="DA25" s="5"/>
      <c r="DB25" s="5"/>
      <c r="DC25" s="5"/>
    </row>
    <row r="26" spans="2:107" ht="12.75" customHeight="1" x14ac:dyDescent="0.25">
      <c r="B26" s="110">
        <f t="shared" si="38"/>
        <v>395</v>
      </c>
      <c r="C26" s="109">
        <f t="shared" si="0"/>
        <v>378.15040176225085</v>
      </c>
      <c r="D26" s="92">
        <f t="shared" si="1"/>
        <v>13948.841654000167</v>
      </c>
      <c r="H26" s="16"/>
      <c r="I26" s="16"/>
      <c r="J26" s="16"/>
      <c r="K26" s="16"/>
      <c r="L26" s="16"/>
      <c r="Q26" s="108">
        <f t="shared" si="2"/>
        <v>775.23786672220808</v>
      </c>
      <c r="R26" s="107">
        <f t="shared" si="3"/>
        <v>395</v>
      </c>
      <c r="S26" s="100">
        <f t="shared" si="4"/>
        <v>969.04733340276005</v>
      </c>
      <c r="T26" s="107">
        <f>0</f>
        <v>0</v>
      </c>
      <c r="U26" s="96">
        <f t="shared" si="5"/>
        <v>484.52366670138002</v>
      </c>
      <c r="V26" s="96">
        <f t="shared" si="6"/>
        <v>123.4375</v>
      </c>
      <c r="W26" s="96">
        <f t="shared" si="7"/>
        <v>193.80946668055202</v>
      </c>
      <c r="X26" s="107">
        <f t="shared" si="8"/>
        <v>395</v>
      </c>
      <c r="Y26" s="106">
        <f t="shared" si="9"/>
        <v>339.16656669096602</v>
      </c>
      <c r="Z26" s="105">
        <f t="shared" si="10"/>
        <v>160.46875</v>
      </c>
      <c r="AA26" s="105">
        <f t="shared" si="11"/>
        <v>872.14260006248401</v>
      </c>
      <c r="AB26" s="105">
        <f t="shared" si="12"/>
        <v>222.1875</v>
      </c>
      <c r="AC26" s="105">
        <f t="shared" si="13"/>
        <v>96.90473334027601</v>
      </c>
      <c r="AD26" s="105">
        <f t="shared" si="14"/>
        <v>222.1875</v>
      </c>
      <c r="AE26" s="105">
        <f t="shared" si="15"/>
        <v>484.52366670138002</v>
      </c>
      <c r="AF26" s="105">
        <f t="shared" si="16"/>
        <v>320.9375</v>
      </c>
      <c r="AG26" s="103">
        <f t="shared" si="17"/>
        <v>436.071300031242</v>
      </c>
      <c r="AH26" s="104">
        <f t="shared" si="18"/>
        <v>532.97603337151804</v>
      </c>
      <c r="AI26" s="103">
        <f t="shared" si="19"/>
        <v>387.61893336110398</v>
      </c>
      <c r="AJ26" s="102">
        <f t="shared" si="20"/>
        <v>581.428400041656</v>
      </c>
      <c r="AK26" s="45"/>
      <c r="AL26" s="101"/>
      <c r="AM26" s="100">
        <f t="shared" si="21"/>
        <v>-1212.5310699468598</v>
      </c>
      <c r="AN26" s="100"/>
      <c r="AO26" s="100">
        <f t="shared" si="22"/>
        <v>-1087.4689300531402</v>
      </c>
      <c r="AP26" s="100">
        <f t="shared" si="23"/>
        <v>-8208.6895634573048</v>
      </c>
      <c r="AQ26" s="100">
        <f t="shared" si="24"/>
        <v>1285.648302460145</v>
      </c>
      <c r="AR26" s="100">
        <f t="shared" si="25"/>
        <v>8208.6895634573048</v>
      </c>
      <c r="AS26" s="100">
        <f t="shared" si="26"/>
        <v>1194.351697539855</v>
      </c>
      <c r="AT26" s="100">
        <f t="shared" si="39"/>
        <v>-8208.6895634573048</v>
      </c>
      <c r="AU26" s="100">
        <f t="shared" si="40"/>
        <v>118.17937240700485</v>
      </c>
      <c r="AV26" s="100">
        <f t="shared" si="27"/>
        <v>616.28873945313342</v>
      </c>
      <c r="AW26" s="100">
        <f t="shared" si="28"/>
        <v>11588.668612623516</v>
      </c>
      <c r="AX26" s="100">
        <f t="shared" si="29"/>
        <v>7763.5651137325212</v>
      </c>
      <c r="AY26" s="100">
        <f t="shared" si="30"/>
        <v>3379.9790491662116</v>
      </c>
      <c r="AZ26" s="100">
        <f t="shared" si="31"/>
        <v>7035.5021556457987</v>
      </c>
      <c r="BA26" s="100">
        <f t="shared" si="32"/>
        <v>-11588.668612623516</v>
      </c>
      <c r="BB26" s="99">
        <f t="shared" si="33"/>
        <v>-5629.8538531856539</v>
      </c>
      <c r="BC26" s="7"/>
      <c r="BD26" s="98">
        <f t="shared" si="34"/>
        <v>0.24945410709382232</v>
      </c>
      <c r="BE26" s="97">
        <f t="shared" si="35"/>
        <v>0.59025654778043724</v>
      </c>
      <c r="BF26" s="96">
        <f t="shared" si="36"/>
        <v>14.292667518680469</v>
      </c>
      <c r="BG26" s="95">
        <f t="shared" si="37"/>
        <v>33.81920901778107</v>
      </c>
      <c r="BH26" s="7"/>
      <c r="BI26" s="7"/>
      <c r="BQ26" s="111"/>
      <c r="BR26" s="111"/>
      <c r="BS26" s="111"/>
      <c r="BT26" s="111"/>
      <c r="BU26" s="111"/>
      <c r="BV26" s="111"/>
      <c r="BW26" s="111"/>
      <c r="BX26" s="111"/>
      <c r="BY26" s="111"/>
      <c r="BZ26" s="111"/>
      <c r="CA26" s="111"/>
      <c r="CB26" s="111"/>
      <c r="CC26" s="111"/>
      <c r="CD26" s="111"/>
      <c r="CE26" s="111"/>
      <c r="CU26" s="5"/>
      <c r="CV26" s="5"/>
      <c r="CW26" s="5"/>
      <c r="CX26" s="5"/>
      <c r="CY26" s="5"/>
      <c r="CZ26" s="5"/>
      <c r="DA26" s="5"/>
      <c r="DB26" s="5"/>
      <c r="DC26" s="5"/>
    </row>
    <row r="27" spans="2:107" x14ac:dyDescent="0.25">
      <c r="B27" s="110">
        <f t="shared" si="38"/>
        <v>430</v>
      </c>
      <c r="C27" s="109">
        <f t="shared" si="0"/>
        <v>384.58489876099952</v>
      </c>
      <c r="D27" s="92">
        <f t="shared" si="1"/>
        <v>13354.568910894781</v>
      </c>
      <c r="G27" s="16"/>
      <c r="H27" s="16"/>
      <c r="I27" s="16"/>
      <c r="J27" s="16"/>
      <c r="K27" s="16"/>
      <c r="L27" s="16"/>
      <c r="Q27" s="108">
        <f t="shared" si="2"/>
        <v>770.56797234247927</v>
      </c>
      <c r="R27" s="107">
        <f t="shared" si="3"/>
        <v>430</v>
      </c>
      <c r="S27" s="100">
        <f t="shared" si="4"/>
        <v>963.20996542809917</v>
      </c>
      <c r="T27" s="107">
        <f>0</f>
        <v>0</v>
      </c>
      <c r="U27" s="96">
        <f t="shared" si="5"/>
        <v>481.60498271404958</v>
      </c>
      <c r="V27" s="96">
        <f t="shared" si="6"/>
        <v>134.375</v>
      </c>
      <c r="W27" s="96">
        <f t="shared" si="7"/>
        <v>192.64199308561982</v>
      </c>
      <c r="X27" s="107">
        <f t="shared" si="8"/>
        <v>430</v>
      </c>
      <c r="Y27" s="106">
        <f t="shared" si="9"/>
        <v>337.12348789983469</v>
      </c>
      <c r="Z27" s="105">
        <f t="shared" si="10"/>
        <v>174.6875</v>
      </c>
      <c r="AA27" s="105">
        <f t="shared" si="11"/>
        <v>866.88896888528916</v>
      </c>
      <c r="AB27" s="105">
        <f t="shared" si="12"/>
        <v>241.875</v>
      </c>
      <c r="AC27" s="105">
        <f t="shared" si="13"/>
        <v>96.320996542809908</v>
      </c>
      <c r="AD27" s="105">
        <f t="shared" si="14"/>
        <v>241.875</v>
      </c>
      <c r="AE27" s="105">
        <f t="shared" si="15"/>
        <v>481.60498271404958</v>
      </c>
      <c r="AF27" s="105">
        <f t="shared" si="16"/>
        <v>349.375</v>
      </c>
      <c r="AG27" s="103">
        <f t="shared" si="17"/>
        <v>433.44448444264458</v>
      </c>
      <c r="AH27" s="104">
        <f t="shared" si="18"/>
        <v>529.76548098545447</v>
      </c>
      <c r="AI27" s="103">
        <f t="shared" si="19"/>
        <v>385.28398617123963</v>
      </c>
      <c r="AJ27" s="102">
        <f t="shared" si="20"/>
        <v>577.92597925685948</v>
      </c>
      <c r="AK27" s="45"/>
      <c r="AL27" s="101"/>
      <c r="AM27" s="100">
        <f t="shared" si="21"/>
        <v>-1219.8794055019673</v>
      </c>
      <c r="AN27" s="100"/>
      <c r="AO27" s="100">
        <f t="shared" si="22"/>
        <v>-1080.1205944980327</v>
      </c>
      <c r="AP27" s="100">
        <f t="shared" si="23"/>
        <v>-7495.1175449358579</v>
      </c>
      <c r="AQ27" s="100">
        <f t="shared" si="24"/>
        <v>1291.1595541264758</v>
      </c>
      <c r="AR27" s="100">
        <f t="shared" si="25"/>
        <v>7495.1175449358579</v>
      </c>
      <c r="AS27" s="100">
        <f t="shared" si="26"/>
        <v>1188.8404458735242</v>
      </c>
      <c r="AT27" s="100">
        <f t="shared" si="39"/>
        <v>-7495.1175449358579</v>
      </c>
      <c r="AU27" s="100">
        <f t="shared" si="40"/>
        <v>131.03895962844308</v>
      </c>
      <c r="AV27" s="100">
        <f t="shared" si="27"/>
        <v>653.8053453569878</v>
      </c>
      <c r="AW27" s="100">
        <f t="shared" si="28"/>
        <v>10838.373116822644</v>
      </c>
      <c r="AX27" s="100">
        <f t="shared" si="29"/>
        <v>7802.1906523984408</v>
      </c>
      <c r="AY27" s="100">
        <f t="shared" si="30"/>
        <v>3343.2555718867861</v>
      </c>
      <c r="AZ27" s="100">
        <f t="shared" si="31"/>
        <v>7117.1555518819041</v>
      </c>
      <c r="BA27" s="100">
        <f t="shared" si="32"/>
        <v>-10838.373116822644</v>
      </c>
      <c r="BB27" s="99">
        <f t="shared" si="33"/>
        <v>-5705.9959977554281</v>
      </c>
      <c r="BC27" s="7"/>
      <c r="BD27" s="98">
        <f t="shared" si="34"/>
        <v>0.27209505201931189</v>
      </c>
      <c r="BE27" s="97">
        <f t="shared" si="35"/>
        <v>0.62393566867646277</v>
      </c>
      <c r="BF27" s="96">
        <f t="shared" si="36"/>
        <v>15.58989810709916</v>
      </c>
      <c r="BG27" s="95">
        <f t="shared" si="37"/>
        <v>35.748880502834197</v>
      </c>
      <c r="BH27" s="7"/>
      <c r="BI27" s="7"/>
      <c r="BQ27" s="111"/>
      <c r="BR27" s="111"/>
      <c r="BS27" s="111"/>
      <c r="BT27" s="111"/>
      <c r="BU27" s="111"/>
      <c r="BV27" s="111"/>
      <c r="BW27" s="111"/>
      <c r="BX27" s="111"/>
      <c r="BY27" s="111"/>
      <c r="BZ27" s="111"/>
      <c r="CA27" s="111"/>
      <c r="CB27" s="111"/>
      <c r="CC27" s="111"/>
      <c r="CD27" s="111"/>
      <c r="CE27" s="111"/>
      <c r="CU27" s="5"/>
      <c r="CV27" s="5"/>
      <c r="CW27" s="5"/>
      <c r="CX27" s="5"/>
      <c r="CY27" s="5"/>
      <c r="CZ27" s="5"/>
      <c r="DA27" s="5"/>
      <c r="DB27" s="5"/>
      <c r="DC27" s="5"/>
    </row>
    <row r="28" spans="2:107" x14ac:dyDescent="0.25">
      <c r="B28" s="110">
        <f t="shared" si="38"/>
        <v>465</v>
      </c>
      <c r="C28" s="109">
        <f t="shared" si="0"/>
        <v>391.2925300780322</v>
      </c>
      <c r="D28" s="92">
        <f t="shared" si="1"/>
        <v>12834.644527964967</v>
      </c>
      <c r="H28" s="112"/>
      <c r="I28" s="112"/>
      <c r="J28" s="112"/>
      <c r="K28" s="112"/>
      <c r="L28" s="112"/>
      <c r="Q28" s="108">
        <f t="shared" si="2"/>
        <v>765.46962709176125</v>
      </c>
      <c r="R28" s="107">
        <f t="shared" si="3"/>
        <v>465</v>
      </c>
      <c r="S28" s="100">
        <f t="shared" si="4"/>
        <v>956.83703386470154</v>
      </c>
      <c r="T28" s="107">
        <f>0</f>
        <v>0</v>
      </c>
      <c r="U28" s="96">
        <f t="shared" si="5"/>
        <v>478.41851693235077</v>
      </c>
      <c r="V28" s="96">
        <f t="shared" si="6"/>
        <v>145.3125</v>
      </c>
      <c r="W28" s="96">
        <f t="shared" si="7"/>
        <v>191.36740677294031</v>
      </c>
      <c r="X28" s="107">
        <f t="shared" si="8"/>
        <v>465</v>
      </c>
      <c r="Y28" s="106">
        <f t="shared" si="9"/>
        <v>334.89296185264556</v>
      </c>
      <c r="Z28" s="105">
        <f t="shared" si="10"/>
        <v>188.90625</v>
      </c>
      <c r="AA28" s="105">
        <f t="shared" si="11"/>
        <v>861.1533304782314</v>
      </c>
      <c r="AB28" s="105">
        <f t="shared" si="12"/>
        <v>261.5625</v>
      </c>
      <c r="AC28" s="105">
        <f t="shared" si="13"/>
        <v>95.683703386470157</v>
      </c>
      <c r="AD28" s="105">
        <f t="shared" si="14"/>
        <v>261.5625</v>
      </c>
      <c r="AE28" s="105">
        <f t="shared" si="15"/>
        <v>478.41851693235077</v>
      </c>
      <c r="AF28" s="105">
        <f t="shared" si="16"/>
        <v>377.8125</v>
      </c>
      <c r="AG28" s="103">
        <f t="shared" si="17"/>
        <v>430.5766652391157</v>
      </c>
      <c r="AH28" s="104">
        <f t="shared" si="18"/>
        <v>526.2603686255859</v>
      </c>
      <c r="AI28" s="103">
        <f t="shared" si="19"/>
        <v>382.73481354588063</v>
      </c>
      <c r="AJ28" s="102">
        <f t="shared" si="20"/>
        <v>574.10222031882097</v>
      </c>
      <c r="AK28" s="45"/>
      <c r="AL28" s="101"/>
      <c r="AM28" s="100">
        <f t="shared" si="21"/>
        <v>-1228.0043083764533</v>
      </c>
      <c r="AN28" s="100"/>
      <c r="AO28" s="100">
        <f t="shared" si="22"/>
        <v>-1071.9956916235467</v>
      </c>
      <c r="AP28" s="100">
        <f t="shared" si="23"/>
        <v>-6885.1112157232046</v>
      </c>
      <c r="AQ28" s="100">
        <f t="shared" si="24"/>
        <v>1297.2532312823405</v>
      </c>
      <c r="AR28" s="100">
        <f t="shared" si="25"/>
        <v>6885.1112157232046</v>
      </c>
      <c r="AS28" s="100">
        <f t="shared" si="26"/>
        <v>1182.7467687176595</v>
      </c>
      <c r="AT28" s="100">
        <f t="shared" si="39"/>
        <v>-6885.1112157232046</v>
      </c>
      <c r="AU28" s="100">
        <f t="shared" si="40"/>
        <v>145.2575396587938</v>
      </c>
      <c r="AV28" s="100">
        <f t="shared" si="27"/>
        <v>687.89746430634136</v>
      </c>
      <c r="AW28" s="100">
        <f t="shared" si="28"/>
        <v>10164.686778722151</v>
      </c>
      <c r="AX28" s="100">
        <f t="shared" si="29"/>
        <v>7836.2773591605446</v>
      </c>
      <c r="AY28" s="100">
        <f t="shared" si="30"/>
        <v>3279.5755629989462</v>
      </c>
      <c r="AZ28" s="100">
        <f t="shared" si="31"/>
        <v>7191.4280547492272</v>
      </c>
      <c r="BA28" s="100">
        <f t="shared" si="32"/>
        <v>-10164.686778722151</v>
      </c>
      <c r="BB28" s="99">
        <f t="shared" si="33"/>
        <v>-5774.1748234668867</v>
      </c>
      <c r="BC28" s="7"/>
      <c r="BD28" s="98">
        <f t="shared" si="34"/>
        <v>0.29487996679318229</v>
      </c>
      <c r="BE28" s="97">
        <f t="shared" si="35"/>
        <v>0.65676324545511011</v>
      </c>
      <c r="BF28" s="96">
        <f t="shared" si="36"/>
        <v>16.895377560207208</v>
      </c>
      <c r="BG28" s="95">
        <f t="shared" si="37"/>
        <v>37.629762103892354</v>
      </c>
      <c r="BH28" s="7"/>
      <c r="BI28" s="7"/>
      <c r="BQ28" s="111"/>
      <c r="BR28" s="111"/>
      <c r="BS28" s="111"/>
      <c r="BT28" s="111"/>
      <c r="BU28" s="111"/>
      <c r="BV28" s="111"/>
      <c r="BW28" s="111"/>
      <c r="BX28" s="111"/>
      <c r="BY28" s="111"/>
      <c r="BZ28" s="111"/>
      <c r="CA28" s="111"/>
      <c r="CB28" s="111"/>
      <c r="CC28" s="111"/>
      <c r="CD28" s="111"/>
      <c r="CE28" s="111"/>
      <c r="CU28" s="5"/>
      <c r="CV28" s="5"/>
      <c r="CW28" s="5"/>
      <c r="CX28" s="5"/>
      <c r="CY28" s="5"/>
      <c r="CZ28" s="5"/>
      <c r="DA28" s="5"/>
      <c r="DB28" s="5"/>
      <c r="DC28" s="5"/>
    </row>
    <row r="29" spans="2:107" ht="12.75" customHeight="1" x14ac:dyDescent="0.25">
      <c r="B29" s="110">
        <f t="shared" si="38"/>
        <v>500</v>
      </c>
      <c r="C29" s="109">
        <f t="shared" si="0"/>
        <v>398.2597320933063</v>
      </c>
      <c r="D29" s="92">
        <f t="shared" si="1"/>
        <v>12376.941003190284</v>
      </c>
      <c r="G29" s="16"/>
      <c r="H29" s="16"/>
      <c r="I29" s="16"/>
      <c r="J29" s="16"/>
      <c r="K29" s="16"/>
      <c r="L29" s="16"/>
      <c r="Q29" s="108">
        <f t="shared" si="2"/>
        <v>759.9342076785332</v>
      </c>
      <c r="R29" s="107">
        <f t="shared" si="3"/>
        <v>500</v>
      </c>
      <c r="S29" s="100">
        <f t="shared" si="4"/>
        <v>949.91775959816653</v>
      </c>
      <c r="T29" s="107">
        <f>0</f>
        <v>0</v>
      </c>
      <c r="U29" s="96">
        <f t="shared" si="5"/>
        <v>474.95887979908326</v>
      </c>
      <c r="V29" s="96">
        <f t="shared" si="6"/>
        <v>156.25</v>
      </c>
      <c r="W29" s="96">
        <f t="shared" si="7"/>
        <v>189.9835519196333</v>
      </c>
      <c r="X29" s="107">
        <f t="shared" si="8"/>
        <v>500</v>
      </c>
      <c r="Y29" s="106">
        <f t="shared" si="9"/>
        <v>332.47121585935827</v>
      </c>
      <c r="Z29" s="105">
        <f t="shared" si="10"/>
        <v>203.125</v>
      </c>
      <c r="AA29" s="105">
        <f t="shared" si="11"/>
        <v>854.92598363834986</v>
      </c>
      <c r="AB29" s="105">
        <f t="shared" si="12"/>
        <v>281.25</v>
      </c>
      <c r="AC29" s="105">
        <f t="shared" si="13"/>
        <v>94.99177595981665</v>
      </c>
      <c r="AD29" s="105">
        <f t="shared" si="14"/>
        <v>281.25</v>
      </c>
      <c r="AE29" s="105">
        <f t="shared" si="15"/>
        <v>474.95887979908326</v>
      </c>
      <c r="AF29" s="105">
        <f t="shared" si="16"/>
        <v>406.25</v>
      </c>
      <c r="AG29" s="103">
        <f t="shared" si="17"/>
        <v>427.46299181917493</v>
      </c>
      <c r="AH29" s="104">
        <f t="shared" si="18"/>
        <v>522.4547677789916</v>
      </c>
      <c r="AI29" s="103">
        <f t="shared" si="19"/>
        <v>379.96710383926666</v>
      </c>
      <c r="AJ29" s="102">
        <f t="shared" si="20"/>
        <v>569.95065575889987</v>
      </c>
      <c r="AK29" s="45"/>
      <c r="AL29" s="101"/>
      <c r="AM29" s="100">
        <f t="shared" si="21"/>
        <v>-1236.9491865243658</v>
      </c>
      <c r="AN29" s="100"/>
      <c r="AO29" s="100">
        <f t="shared" si="22"/>
        <v>-1063.0508134756342</v>
      </c>
      <c r="AP29" s="100">
        <f t="shared" si="23"/>
        <v>-6356.8496472309298</v>
      </c>
      <c r="AQ29" s="100">
        <f t="shared" si="24"/>
        <v>1303.9618898932749</v>
      </c>
      <c r="AR29" s="100">
        <f t="shared" si="25"/>
        <v>6356.8496472309298</v>
      </c>
      <c r="AS29" s="100">
        <f t="shared" si="26"/>
        <v>1176.0381101067251</v>
      </c>
      <c r="AT29" s="100">
        <f t="shared" si="39"/>
        <v>-6356.8496472309298</v>
      </c>
      <c r="AU29" s="100">
        <f t="shared" si="40"/>
        <v>160.91107641764074</v>
      </c>
      <c r="AV29" s="100">
        <f t="shared" si="27"/>
        <v>719.17598777584226</v>
      </c>
      <c r="AW29" s="100">
        <f t="shared" si="28"/>
        <v>9555.4553779965845</v>
      </c>
      <c r="AX29" s="100">
        <f t="shared" si="29"/>
        <v>7866.5075551714226</v>
      </c>
      <c r="AY29" s="100">
        <f t="shared" si="30"/>
        <v>3198.6057307656547</v>
      </c>
      <c r="AZ29" s="100">
        <f t="shared" si="31"/>
        <v>7259.6454328405398</v>
      </c>
      <c r="BA29" s="100">
        <f t="shared" si="32"/>
        <v>-9555.4553779965845</v>
      </c>
      <c r="BB29" s="99">
        <f t="shared" si="33"/>
        <v>-5835.6835429472649</v>
      </c>
      <c r="BC29" s="7"/>
      <c r="BD29" s="98">
        <f t="shared" si="34"/>
        <v>0.31782370392788079</v>
      </c>
      <c r="BE29" s="97">
        <f t="shared" si="35"/>
        <v>0.68875655533552005</v>
      </c>
      <c r="BF29" s="96">
        <f t="shared" si="36"/>
        <v>18.209956864283015</v>
      </c>
      <c r="BG29" s="95">
        <f t="shared" si="37"/>
        <v>39.46284373269404</v>
      </c>
      <c r="BH29" s="7"/>
      <c r="BI29" s="7"/>
      <c r="BQ29" s="111"/>
      <c r="BR29" s="111"/>
      <c r="BS29" s="111"/>
      <c r="BT29" s="111"/>
      <c r="BU29" s="111"/>
      <c r="BV29" s="111"/>
      <c r="BW29" s="111"/>
      <c r="BX29" s="111"/>
      <c r="BY29" s="111"/>
      <c r="BZ29" s="111"/>
      <c r="CA29" s="111"/>
      <c r="CB29" s="111"/>
      <c r="CC29" s="111"/>
      <c r="CD29" s="111"/>
      <c r="CE29" s="111"/>
      <c r="CU29" s="5"/>
      <c r="CV29" s="5"/>
      <c r="CW29" s="5"/>
      <c r="CX29" s="5"/>
      <c r="CY29" s="5"/>
      <c r="CZ29" s="5"/>
      <c r="DA29" s="5"/>
      <c r="DB29" s="5"/>
      <c r="DC29" s="5"/>
    </row>
    <row r="30" spans="2:107" x14ac:dyDescent="0.25">
      <c r="B30" s="110">
        <f t="shared" si="38"/>
        <v>535</v>
      </c>
      <c r="C30" s="109">
        <f t="shared" si="0"/>
        <v>405.47338417829661</v>
      </c>
      <c r="D30" s="92">
        <f t="shared" si="1"/>
        <v>11971.754794863389</v>
      </c>
      <c r="G30" s="16"/>
      <c r="H30" s="16"/>
      <c r="I30" s="16"/>
      <c r="J30" s="16"/>
      <c r="K30" s="16"/>
      <c r="L30" s="16"/>
      <c r="Q30" s="108">
        <f t="shared" si="2"/>
        <v>753.95208733711991</v>
      </c>
      <c r="R30" s="107">
        <f t="shared" si="3"/>
        <v>535</v>
      </c>
      <c r="S30" s="100">
        <f t="shared" si="4"/>
        <v>942.44010917139985</v>
      </c>
      <c r="T30" s="107">
        <f>0</f>
        <v>0</v>
      </c>
      <c r="U30" s="96">
        <f t="shared" si="5"/>
        <v>471.22005458569993</v>
      </c>
      <c r="V30" s="96">
        <f t="shared" si="6"/>
        <v>167.1875</v>
      </c>
      <c r="W30" s="96">
        <f t="shared" si="7"/>
        <v>188.48802183427998</v>
      </c>
      <c r="X30" s="107">
        <f t="shared" si="8"/>
        <v>535</v>
      </c>
      <c r="Y30" s="106">
        <f t="shared" si="9"/>
        <v>329.85403820998994</v>
      </c>
      <c r="Z30" s="105">
        <f t="shared" si="10"/>
        <v>217.34375</v>
      </c>
      <c r="AA30" s="105">
        <f t="shared" si="11"/>
        <v>848.19609825425982</v>
      </c>
      <c r="AB30" s="105">
        <f t="shared" si="12"/>
        <v>300.9375</v>
      </c>
      <c r="AC30" s="105">
        <f t="shared" si="13"/>
        <v>94.244010917139988</v>
      </c>
      <c r="AD30" s="105">
        <f t="shared" si="14"/>
        <v>300.9375</v>
      </c>
      <c r="AE30" s="105">
        <f t="shared" si="15"/>
        <v>471.22005458569993</v>
      </c>
      <c r="AF30" s="105">
        <f t="shared" si="16"/>
        <v>434.6875</v>
      </c>
      <c r="AG30" s="103">
        <f t="shared" si="17"/>
        <v>424.09804912712991</v>
      </c>
      <c r="AH30" s="104">
        <f t="shared" si="18"/>
        <v>518.34206004426994</v>
      </c>
      <c r="AI30" s="103">
        <f t="shared" si="19"/>
        <v>376.97604366855995</v>
      </c>
      <c r="AJ30" s="102">
        <f t="shared" si="20"/>
        <v>565.46406550283996</v>
      </c>
      <c r="AK30" s="45"/>
      <c r="AL30" s="101"/>
      <c r="AM30" s="100">
        <f t="shared" si="21"/>
        <v>-1246.7635752823257</v>
      </c>
      <c r="AN30" s="100"/>
      <c r="AO30" s="100">
        <f t="shared" si="22"/>
        <v>-1053.2364247176743</v>
      </c>
      <c r="AP30" s="100">
        <f t="shared" si="23"/>
        <v>-5894.2142154906633</v>
      </c>
      <c r="AQ30" s="100">
        <f t="shared" si="24"/>
        <v>1311.3226814617458</v>
      </c>
      <c r="AR30" s="100">
        <f t="shared" si="25"/>
        <v>5894.2142154906633</v>
      </c>
      <c r="AS30" s="100">
        <f t="shared" si="26"/>
        <v>1168.6773185382542</v>
      </c>
      <c r="AT30" s="100">
        <f t="shared" si="39"/>
        <v>-5894.2142154906633</v>
      </c>
      <c r="AU30" s="100">
        <f t="shared" si="40"/>
        <v>178.08625674407153</v>
      </c>
      <c r="AV30" s="100">
        <f t="shared" si="27"/>
        <v>748.13687182750766</v>
      </c>
      <c r="AW30" s="100">
        <f t="shared" si="28"/>
        <v>9000.9306062591731</v>
      </c>
      <c r="AX30" s="100">
        <f t="shared" si="29"/>
        <v>7893.42518110113</v>
      </c>
      <c r="AY30" s="100">
        <f t="shared" si="30"/>
        <v>3106.7163907685099</v>
      </c>
      <c r="AZ30" s="100">
        <f t="shared" si="31"/>
        <v>7322.8847343903826</v>
      </c>
      <c r="BA30" s="100">
        <f t="shared" si="32"/>
        <v>-9000.9306062591731</v>
      </c>
      <c r="BB30" s="99">
        <f t="shared" si="33"/>
        <v>-5891.5620529286371</v>
      </c>
      <c r="BC30" s="7"/>
      <c r="BD30" s="98">
        <f t="shared" si="34"/>
        <v>0.34094197990090619</v>
      </c>
      <c r="BE30" s="97">
        <f t="shared" si="35"/>
        <v>0.71993706841120886</v>
      </c>
      <c r="BF30" s="96">
        <f t="shared" si="36"/>
        <v>19.534536507156066</v>
      </c>
      <c r="BG30" s="95">
        <f t="shared" si="37"/>
        <v>41.249355534983486</v>
      </c>
      <c r="BH30" s="7"/>
      <c r="BI30" s="7"/>
      <c r="BQ30" s="111"/>
      <c r="BR30" s="111"/>
      <c r="BS30" s="111"/>
      <c r="BT30" s="111"/>
      <c r="BU30" s="111"/>
      <c r="BV30" s="111"/>
      <c r="BW30" s="111"/>
      <c r="BX30" s="111"/>
      <c r="BY30" s="111"/>
      <c r="BZ30" s="111"/>
      <c r="CA30" s="111"/>
      <c r="CB30" s="111"/>
      <c r="CC30" s="111"/>
      <c r="CD30" s="111"/>
      <c r="CE30" s="111"/>
      <c r="CU30" s="5"/>
      <c r="CV30" s="5"/>
      <c r="CW30" s="5"/>
      <c r="CX30" s="5"/>
      <c r="CY30" s="5"/>
      <c r="CZ30" s="5"/>
      <c r="DA30" s="5"/>
      <c r="DB30" s="5"/>
      <c r="DC30" s="5"/>
    </row>
    <row r="31" spans="2:107" x14ac:dyDescent="0.25">
      <c r="B31" s="110">
        <f t="shared" si="38"/>
        <v>570</v>
      </c>
      <c r="C31" s="109">
        <f t="shared" si="0"/>
        <v>412.9208542811744</v>
      </c>
      <c r="D31" s="92">
        <f t="shared" si="1"/>
        <v>11611.2327721027</v>
      </c>
      <c r="Q31" s="108">
        <f t="shared" si="2"/>
        <v>747.51254170080642</v>
      </c>
      <c r="R31" s="107">
        <f t="shared" si="3"/>
        <v>570</v>
      </c>
      <c r="S31" s="100">
        <f t="shared" si="4"/>
        <v>934.39067712600809</v>
      </c>
      <c r="T31" s="107">
        <f>0</f>
        <v>0</v>
      </c>
      <c r="U31" s="96">
        <f t="shared" si="5"/>
        <v>467.19533856300404</v>
      </c>
      <c r="V31" s="96">
        <f t="shared" si="6"/>
        <v>178.125</v>
      </c>
      <c r="W31" s="96">
        <f t="shared" si="7"/>
        <v>186.87813542520161</v>
      </c>
      <c r="X31" s="107">
        <f t="shared" si="8"/>
        <v>570</v>
      </c>
      <c r="Y31" s="106">
        <f t="shared" si="9"/>
        <v>327.03673699410285</v>
      </c>
      <c r="Z31" s="105">
        <f t="shared" si="10"/>
        <v>231.5625</v>
      </c>
      <c r="AA31" s="105">
        <f t="shared" si="11"/>
        <v>840.95160941340725</v>
      </c>
      <c r="AB31" s="105">
        <f t="shared" si="12"/>
        <v>320.625</v>
      </c>
      <c r="AC31" s="105">
        <f t="shared" si="13"/>
        <v>93.439067712600803</v>
      </c>
      <c r="AD31" s="105">
        <f t="shared" si="14"/>
        <v>320.625</v>
      </c>
      <c r="AE31" s="105">
        <f t="shared" si="15"/>
        <v>467.19533856300404</v>
      </c>
      <c r="AF31" s="105">
        <f t="shared" si="16"/>
        <v>463.125</v>
      </c>
      <c r="AG31" s="103">
        <f t="shared" si="17"/>
        <v>420.47580470670368</v>
      </c>
      <c r="AH31" s="104">
        <f t="shared" si="18"/>
        <v>513.9148724193044</v>
      </c>
      <c r="AI31" s="103">
        <f t="shared" si="19"/>
        <v>373.75627085040321</v>
      </c>
      <c r="AJ31" s="102">
        <f t="shared" si="20"/>
        <v>560.63440627560487</v>
      </c>
      <c r="AK31" s="45"/>
      <c r="AL31" s="101"/>
      <c r="AM31" s="100">
        <f t="shared" si="21"/>
        <v>-1257.5039849648933</v>
      </c>
      <c r="AN31" s="100"/>
      <c r="AO31" s="100">
        <f t="shared" si="22"/>
        <v>-1042.4960150351067</v>
      </c>
      <c r="AP31" s="100">
        <f t="shared" si="23"/>
        <v>-5485.0372029186392</v>
      </c>
      <c r="AQ31" s="100">
        <f t="shared" si="24"/>
        <v>1319.3779887236706</v>
      </c>
      <c r="AR31" s="100">
        <f t="shared" si="25"/>
        <v>5485.0372029186392</v>
      </c>
      <c r="AS31" s="100">
        <f t="shared" si="26"/>
        <v>1160.6220112763294</v>
      </c>
      <c r="AT31" s="100">
        <f t="shared" si="39"/>
        <v>-5485.0372029186392</v>
      </c>
      <c r="AU31" s="100">
        <f t="shared" si="40"/>
        <v>196.8819736885639</v>
      </c>
      <c r="AV31" s="100">
        <f t="shared" si="27"/>
        <v>775.18940814824907</v>
      </c>
      <c r="AW31" s="100">
        <f t="shared" si="28"/>
        <v>8493.1986907515729</v>
      </c>
      <c r="AX31" s="100">
        <f t="shared" si="29"/>
        <v>7917.4681866975334</v>
      </c>
      <c r="AY31" s="100">
        <f t="shared" si="30"/>
        <v>3008.1614878329337</v>
      </c>
      <c r="AZ31" s="100">
        <f t="shared" si="31"/>
        <v>7382.0355835694536</v>
      </c>
      <c r="BA31" s="100">
        <f t="shared" si="32"/>
        <v>-8493.1986907515729</v>
      </c>
      <c r="BB31" s="99">
        <f t="shared" si="33"/>
        <v>-5942.657594845783</v>
      </c>
      <c r="BC31" s="7"/>
      <c r="BD31" s="98">
        <f t="shared" si="34"/>
        <v>0.36425149687909031</v>
      </c>
      <c r="BE31" s="97">
        <f t="shared" si="35"/>
        <v>0.75032984591886953</v>
      </c>
      <c r="BF31" s="96">
        <f t="shared" si="36"/>
        <v>20.870073452494552</v>
      </c>
      <c r="BG31" s="95">
        <f t="shared" si="37"/>
        <v>42.990733413852581</v>
      </c>
      <c r="BH31" s="7"/>
      <c r="BI31" s="7"/>
      <c r="BQ31" s="111"/>
      <c r="BR31" s="111"/>
      <c r="BS31" s="111"/>
      <c r="BT31" s="111"/>
      <c r="BU31" s="111"/>
      <c r="BV31" s="111"/>
      <c r="BW31" s="111"/>
      <c r="BX31" s="111"/>
      <c r="BY31" s="111"/>
      <c r="BZ31" s="111"/>
      <c r="CA31" s="111"/>
      <c r="CB31" s="111"/>
      <c r="CC31" s="111"/>
      <c r="CD31" s="111"/>
      <c r="CE31" s="111"/>
      <c r="CU31" s="5"/>
      <c r="CV31" s="5"/>
      <c r="CW31" s="5"/>
      <c r="CX31" s="5"/>
      <c r="CY31" s="5"/>
      <c r="CZ31" s="5"/>
      <c r="DA31" s="5"/>
      <c r="DB31" s="5"/>
      <c r="DC31" s="5"/>
    </row>
    <row r="32" spans="2:107" x14ac:dyDescent="0.25">
      <c r="B32" s="110">
        <f t="shared" si="38"/>
        <v>605</v>
      </c>
      <c r="C32" s="109">
        <f t="shared" si="0"/>
        <v>420.59003208094748</v>
      </c>
      <c r="D32" s="92">
        <f t="shared" si="1"/>
        <v>11288.953994339612</v>
      </c>
      <c r="Q32" s="108">
        <f t="shared" si="2"/>
        <v>740.60363893245892</v>
      </c>
      <c r="R32" s="107">
        <f t="shared" si="3"/>
        <v>605</v>
      </c>
      <c r="S32" s="100">
        <f t="shared" si="4"/>
        <v>925.75454866557368</v>
      </c>
      <c r="T32" s="107">
        <f>0</f>
        <v>0</v>
      </c>
      <c r="U32" s="96">
        <f t="shared" si="5"/>
        <v>462.87727433278684</v>
      </c>
      <c r="V32" s="96">
        <f t="shared" si="6"/>
        <v>189.0625</v>
      </c>
      <c r="W32" s="96">
        <f t="shared" si="7"/>
        <v>185.15090973311473</v>
      </c>
      <c r="X32" s="107">
        <f t="shared" si="8"/>
        <v>605</v>
      </c>
      <c r="Y32" s="106">
        <f t="shared" si="9"/>
        <v>324.01409203295077</v>
      </c>
      <c r="Z32" s="105">
        <f t="shared" si="10"/>
        <v>245.78125</v>
      </c>
      <c r="AA32" s="105">
        <f t="shared" si="11"/>
        <v>833.1790937990163</v>
      </c>
      <c r="AB32" s="105">
        <f t="shared" si="12"/>
        <v>340.3125</v>
      </c>
      <c r="AC32" s="105">
        <f t="shared" si="13"/>
        <v>92.575454866557365</v>
      </c>
      <c r="AD32" s="105">
        <f t="shared" si="14"/>
        <v>340.3125</v>
      </c>
      <c r="AE32" s="105">
        <f t="shared" si="15"/>
        <v>462.87727433278684</v>
      </c>
      <c r="AF32" s="105">
        <f t="shared" si="16"/>
        <v>491.5625</v>
      </c>
      <c r="AG32" s="103">
        <f t="shared" si="17"/>
        <v>416.58954689950815</v>
      </c>
      <c r="AH32" s="104">
        <f t="shared" si="18"/>
        <v>509.16500176606553</v>
      </c>
      <c r="AI32" s="103">
        <f t="shared" si="19"/>
        <v>370.30181946622946</v>
      </c>
      <c r="AJ32" s="102">
        <f t="shared" si="20"/>
        <v>555.45272919934416</v>
      </c>
      <c r="AK32" s="45"/>
      <c r="AL32" s="101"/>
      <c r="AM32" s="100">
        <f t="shared" si="21"/>
        <v>-1269.2349194434967</v>
      </c>
      <c r="AN32" s="100"/>
      <c r="AO32" s="100">
        <f t="shared" si="22"/>
        <v>-1030.7650805565033</v>
      </c>
      <c r="AP32" s="100">
        <f t="shared" si="23"/>
        <v>-5119.9582146033208</v>
      </c>
      <c r="AQ32" s="100">
        <f t="shared" si="24"/>
        <v>1328.1761895826228</v>
      </c>
      <c r="AR32" s="100">
        <f t="shared" si="25"/>
        <v>5119.9582146033208</v>
      </c>
      <c r="AS32" s="100">
        <f t="shared" si="26"/>
        <v>1151.8238104173772</v>
      </c>
      <c r="AT32" s="100">
        <f t="shared" si="39"/>
        <v>-5119.9582146033208</v>
      </c>
      <c r="AU32" s="100">
        <f t="shared" si="40"/>
        <v>217.41110902611945</v>
      </c>
      <c r="AV32" s="100">
        <f t="shared" si="27"/>
        <v>800.67699990012795</v>
      </c>
      <c r="AW32" s="100">
        <f t="shared" si="28"/>
        <v>8025.7639771394925</v>
      </c>
      <c r="AX32" s="100">
        <f t="shared" si="29"/>
        <v>7938.9920562730349</v>
      </c>
      <c r="AY32" s="100">
        <f t="shared" si="30"/>
        <v>2905.8057625361716</v>
      </c>
      <c r="AZ32" s="100">
        <f t="shared" si="31"/>
        <v>7437.845245755786</v>
      </c>
      <c r="BA32" s="100">
        <f t="shared" si="32"/>
        <v>-8025.7639771394925</v>
      </c>
      <c r="BB32" s="99">
        <f t="shared" si="33"/>
        <v>-5989.669056173163</v>
      </c>
      <c r="BC32" s="7"/>
      <c r="BD32" s="98">
        <f t="shared" si="34"/>
        <v>0.387770081760267</v>
      </c>
      <c r="BE32" s="97">
        <f t="shared" si="35"/>
        <v>0.77996299945007197</v>
      </c>
      <c r="BF32" s="96">
        <f t="shared" si="36"/>
        <v>22.217589106306164</v>
      </c>
      <c r="BG32" s="95">
        <f t="shared" si="37"/>
        <v>44.688588044853674</v>
      </c>
      <c r="BH32" s="7"/>
      <c r="BI32" s="7"/>
      <c r="BQ32" s="111"/>
      <c r="BR32" s="111"/>
      <c r="BS32" s="111"/>
      <c r="BT32" s="111"/>
      <c r="BU32" s="111"/>
      <c r="BV32" s="111"/>
      <c r="BW32" s="111"/>
      <c r="BX32" s="111"/>
      <c r="BY32" s="111"/>
      <c r="BZ32" s="111"/>
      <c r="CA32" s="111"/>
      <c r="CB32" s="111"/>
      <c r="CC32" s="111"/>
      <c r="CD32" s="111"/>
      <c r="CE32" s="111"/>
      <c r="CU32" s="5"/>
      <c r="CV32" s="5"/>
      <c r="CW32" s="5"/>
      <c r="CX32" s="5"/>
      <c r="CY32" s="5"/>
      <c r="CZ32" s="5"/>
      <c r="DA32" s="5"/>
      <c r="DB32" s="5"/>
      <c r="DC32" s="5"/>
    </row>
    <row r="33" spans="1:107" x14ac:dyDescent="0.25">
      <c r="B33" s="110">
        <f t="shared" si="38"/>
        <v>640</v>
      </c>
      <c r="C33" s="109">
        <f t="shared" si="0"/>
        <v>428.46935137493159</v>
      </c>
      <c r="D33" s="92">
        <f t="shared" si="1"/>
        <v>10999.619771915752</v>
      </c>
      <c r="Q33" s="108">
        <f t="shared" si="2"/>
        <v>733.21211119293434</v>
      </c>
      <c r="R33" s="107">
        <f t="shared" si="3"/>
        <v>640</v>
      </c>
      <c r="S33" s="100">
        <f t="shared" si="4"/>
        <v>916.51513899116799</v>
      </c>
      <c r="T33" s="107">
        <f>0</f>
        <v>0</v>
      </c>
      <c r="U33" s="96">
        <f t="shared" si="5"/>
        <v>458.25756949558399</v>
      </c>
      <c r="V33" s="96">
        <f t="shared" si="6"/>
        <v>200</v>
      </c>
      <c r="W33" s="96">
        <f t="shared" si="7"/>
        <v>183.30302779823359</v>
      </c>
      <c r="X33" s="107">
        <f t="shared" si="8"/>
        <v>640</v>
      </c>
      <c r="Y33" s="106">
        <f t="shared" si="9"/>
        <v>320.78029864690882</v>
      </c>
      <c r="Z33" s="105">
        <f t="shared" si="10"/>
        <v>260</v>
      </c>
      <c r="AA33" s="105">
        <f t="shared" si="11"/>
        <v>824.86362509205117</v>
      </c>
      <c r="AB33" s="105">
        <f t="shared" si="12"/>
        <v>360</v>
      </c>
      <c r="AC33" s="105">
        <f t="shared" si="13"/>
        <v>91.651513899116793</v>
      </c>
      <c r="AD33" s="105">
        <f t="shared" si="14"/>
        <v>360</v>
      </c>
      <c r="AE33" s="105">
        <f t="shared" si="15"/>
        <v>458.25756949558399</v>
      </c>
      <c r="AF33" s="105">
        <f t="shared" si="16"/>
        <v>520</v>
      </c>
      <c r="AG33" s="103">
        <f t="shared" si="17"/>
        <v>412.43181254602553</v>
      </c>
      <c r="AH33" s="104">
        <f t="shared" si="18"/>
        <v>504.08332644514235</v>
      </c>
      <c r="AI33" s="103">
        <f t="shared" si="19"/>
        <v>366.60605559646723</v>
      </c>
      <c r="AJ33" s="102">
        <f t="shared" si="20"/>
        <v>549.90908339470082</v>
      </c>
      <c r="AK33" s="45"/>
      <c r="AL33" s="101"/>
      <c r="AM33" s="100">
        <f t="shared" si="21"/>
        <v>-1282.0301051364554</v>
      </c>
      <c r="AN33" s="100"/>
      <c r="AO33" s="100">
        <f t="shared" si="22"/>
        <v>-1017.9698948635446</v>
      </c>
      <c r="AP33" s="100">
        <f t="shared" si="23"/>
        <v>-4791.6557110381955</v>
      </c>
      <c r="AQ33" s="100">
        <f t="shared" si="24"/>
        <v>1337.7725788523412</v>
      </c>
      <c r="AR33" s="100">
        <f t="shared" si="25"/>
        <v>4791.6557110381955</v>
      </c>
      <c r="AS33" s="100">
        <f t="shared" si="26"/>
        <v>1142.2274211476588</v>
      </c>
      <c r="AT33" s="100">
        <f t="shared" si="39"/>
        <v>-4791.6557110381955</v>
      </c>
      <c r="AU33" s="100">
        <f t="shared" si="40"/>
        <v>239.80268398879662</v>
      </c>
      <c r="AV33" s="100">
        <f t="shared" si="27"/>
        <v>824.89275523586809</v>
      </c>
      <c r="AW33" s="100">
        <f t="shared" si="28"/>
        <v>7593.2404749592888</v>
      </c>
      <c r="AX33" s="100">
        <f t="shared" si="29"/>
        <v>7958.2871408463234</v>
      </c>
      <c r="AY33" s="100">
        <f t="shared" si="30"/>
        <v>2801.5847639210933</v>
      </c>
      <c r="AZ33" s="100">
        <f t="shared" si="31"/>
        <v>7490.9524749345319</v>
      </c>
      <c r="BA33" s="100">
        <f t="shared" si="32"/>
        <v>-7593.2404749592888</v>
      </c>
      <c r="BB33" s="99">
        <f t="shared" si="33"/>
        <v>-6033.1798960821907</v>
      </c>
      <c r="BC33" s="7"/>
      <c r="BD33" s="98">
        <f t="shared" si="34"/>
        <v>0.41151684606748801</v>
      </c>
      <c r="BE33" s="97">
        <f t="shared" si="35"/>
        <v>0.80886721739015877</v>
      </c>
      <c r="BF33" s="96">
        <f t="shared" si="36"/>
        <v>23.578178478201831</v>
      </c>
      <c r="BG33" s="95">
        <f t="shared" si="37"/>
        <v>46.344677742946963</v>
      </c>
      <c r="BH33" s="7"/>
      <c r="BI33" s="7"/>
      <c r="BQ33" s="111"/>
      <c r="BR33" s="111"/>
      <c r="BS33" s="111"/>
      <c r="BT33" s="111"/>
      <c r="BU33" s="111"/>
      <c r="BV33" s="111"/>
      <c r="BW33" s="111"/>
      <c r="BX33" s="111"/>
      <c r="BY33" s="111"/>
      <c r="BZ33" s="111"/>
      <c r="CA33" s="111"/>
      <c r="CB33" s="111"/>
      <c r="CC33" s="111"/>
      <c r="CD33" s="111"/>
      <c r="CE33" s="111"/>
      <c r="CU33" s="5"/>
      <c r="CV33" s="5"/>
      <c r="CW33" s="5"/>
      <c r="CX33" s="5"/>
      <c r="CY33" s="5"/>
      <c r="CZ33" s="5"/>
      <c r="DA33" s="5"/>
      <c r="DB33" s="5"/>
      <c r="DC33" s="5"/>
    </row>
    <row r="34" spans="1:107" x14ac:dyDescent="0.25">
      <c r="B34" s="110">
        <f t="shared" si="38"/>
        <v>675</v>
      </c>
      <c r="C34" s="109">
        <f t="shared" si="0"/>
        <v>436.54780334338312</v>
      </c>
      <c r="D34" s="92">
        <f t="shared" si="1"/>
        <v>10738.820574838142</v>
      </c>
      <c r="Q34" s="108">
        <f t="shared" si="2"/>
        <v>725.32320382020043</v>
      </c>
      <c r="R34" s="107">
        <f t="shared" si="3"/>
        <v>675</v>
      </c>
      <c r="S34" s="100">
        <f t="shared" si="4"/>
        <v>906.65400477525054</v>
      </c>
      <c r="T34" s="107">
        <f>0</f>
        <v>0</v>
      </c>
      <c r="U34" s="96">
        <f t="shared" si="5"/>
        <v>453.32700238762527</v>
      </c>
      <c r="V34" s="96">
        <f t="shared" si="6"/>
        <v>210.9375</v>
      </c>
      <c r="W34" s="96">
        <f t="shared" si="7"/>
        <v>181.33080095505011</v>
      </c>
      <c r="X34" s="107">
        <f t="shared" si="8"/>
        <v>675</v>
      </c>
      <c r="Y34" s="106">
        <f t="shared" si="9"/>
        <v>317.32890167133769</v>
      </c>
      <c r="Z34" s="105">
        <f t="shared" si="10"/>
        <v>274.21875</v>
      </c>
      <c r="AA34" s="105">
        <f t="shared" si="11"/>
        <v>815.98860429772549</v>
      </c>
      <c r="AB34" s="105">
        <f t="shared" si="12"/>
        <v>379.6875</v>
      </c>
      <c r="AC34" s="105">
        <f t="shared" si="13"/>
        <v>90.665400477525054</v>
      </c>
      <c r="AD34" s="105">
        <f t="shared" si="14"/>
        <v>379.6875</v>
      </c>
      <c r="AE34" s="105">
        <f t="shared" si="15"/>
        <v>453.32700238762527</v>
      </c>
      <c r="AF34" s="105">
        <f t="shared" si="16"/>
        <v>548.4375</v>
      </c>
      <c r="AG34" s="103">
        <f t="shared" si="17"/>
        <v>407.99430214886274</v>
      </c>
      <c r="AH34" s="104">
        <f t="shared" si="18"/>
        <v>498.6597026263878</v>
      </c>
      <c r="AI34" s="103">
        <f t="shared" si="19"/>
        <v>362.66160191010022</v>
      </c>
      <c r="AJ34" s="102">
        <f t="shared" si="20"/>
        <v>543.99240286515032</v>
      </c>
      <c r="AK34" s="45"/>
      <c r="AL34" s="101"/>
      <c r="AM34" s="100">
        <f t="shared" si="21"/>
        <v>-1295.9739810461317</v>
      </c>
      <c r="AN34" s="100"/>
      <c r="AO34" s="100">
        <f t="shared" si="22"/>
        <v>-1004.0260189538683</v>
      </c>
      <c r="AP34" s="100">
        <f t="shared" si="23"/>
        <v>-4494.317481448873</v>
      </c>
      <c r="AQ34" s="100">
        <f t="shared" si="24"/>
        <v>1348.2304857845993</v>
      </c>
      <c r="AR34" s="100">
        <f t="shared" si="25"/>
        <v>4494.317481448873</v>
      </c>
      <c r="AS34" s="100">
        <f t="shared" si="26"/>
        <v>1131.7695142154007</v>
      </c>
      <c r="AT34" s="100">
        <f t="shared" si="39"/>
        <v>-4494.317481448873</v>
      </c>
      <c r="AU34" s="100">
        <f t="shared" si="40"/>
        <v>264.20446683073101</v>
      </c>
      <c r="AV34" s="100">
        <f t="shared" si="27"/>
        <v>848.09145451962002</v>
      </c>
      <c r="AW34" s="100">
        <f t="shared" si="28"/>
        <v>7191.1199640573795</v>
      </c>
      <c r="AX34" s="100">
        <f t="shared" si="29"/>
        <v>7975.5915768739314</v>
      </c>
      <c r="AY34" s="100">
        <f t="shared" si="30"/>
        <v>2696.8024826085066</v>
      </c>
      <c r="AZ34" s="100">
        <f t="shared" si="31"/>
        <v>7541.9135171781509</v>
      </c>
      <c r="BA34" s="100">
        <f t="shared" si="32"/>
        <v>-7191.1199640573795</v>
      </c>
      <c r="BB34" s="99">
        <f t="shared" si="33"/>
        <v>-6073.6830313935516</v>
      </c>
      <c r="BC34" s="7"/>
      <c r="BD34" s="98">
        <f t="shared" si="34"/>
        <v>0.4355123710644338</v>
      </c>
      <c r="BE34" s="97">
        <f t="shared" si="35"/>
        <v>0.83707536232506441</v>
      </c>
      <c r="BF34" s="96">
        <f t="shared" si="36"/>
        <v>24.953020787727493</v>
      </c>
      <c r="BG34" s="95">
        <f t="shared" si="37"/>
        <v>47.96088539561039</v>
      </c>
      <c r="BH34" s="7"/>
      <c r="BI34" s="7"/>
      <c r="BQ34" s="111"/>
      <c r="BR34" s="111"/>
      <c r="BS34" s="111"/>
      <c r="BT34" s="111"/>
      <c r="BU34" s="111"/>
      <c r="BV34" s="111"/>
      <c r="BW34" s="111"/>
      <c r="BX34" s="111"/>
      <c r="BY34" s="111"/>
      <c r="BZ34" s="111"/>
      <c r="CA34" s="111"/>
      <c r="CB34" s="111"/>
      <c r="CC34" s="111"/>
      <c r="CD34" s="111"/>
      <c r="CE34" s="111"/>
      <c r="CU34" s="5"/>
      <c r="CV34" s="5"/>
      <c r="CW34" s="5"/>
      <c r="CX34" s="5"/>
      <c r="CY34" s="5"/>
      <c r="CZ34" s="5"/>
      <c r="DA34" s="5"/>
      <c r="DB34" s="5"/>
      <c r="DC34" s="5"/>
    </row>
    <row r="35" spans="1:107" x14ac:dyDescent="0.25">
      <c r="B35" s="110">
        <f t="shared" si="38"/>
        <v>710</v>
      </c>
      <c r="C35" s="109">
        <f t="shared" si="0"/>
        <v>444.81494226605577</v>
      </c>
      <c r="D35" s="92">
        <f t="shared" si="1"/>
        <v>10502.858369559897</v>
      </c>
      <c r="Q35" s="108">
        <f t="shared" si="2"/>
        <v>716.92049768436675</v>
      </c>
      <c r="R35" s="107">
        <f t="shared" si="3"/>
        <v>710</v>
      </c>
      <c r="S35" s="100">
        <f t="shared" si="4"/>
        <v>896.15062210545841</v>
      </c>
      <c r="T35" s="107">
        <f>0</f>
        <v>0</v>
      </c>
      <c r="U35" s="96">
        <f t="shared" si="5"/>
        <v>448.07531105272921</v>
      </c>
      <c r="V35" s="96">
        <f t="shared" si="6"/>
        <v>221.875</v>
      </c>
      <c r="W35" s="96">
        <f t="shared" si="7"/>
        <v>179.23012442109169</v>
      </c>
      <c r="X35" s="107">
        <f t="shared" si="8"/>
        <v>710</v>
      </c>
      <c r="Y35" s="106">
        <f t="shared" si="9"/>
        <v>313.65271773691046</v>
      </c>
      <c r="Z35" s="105">
        <f t="shared" si="10"/>
        <v>288.4375</v>
      </c>
      <c r="AA35" s="105">
        <f t="shared" si="11"/>
        <v>806.53555989491258</v>
      </c>
      <c r="AB35" s="105">
        <f t="shared" si="12"/>
        <v>399.375</v>
      </c>
      <c r="AC35" s="105">
        <f t="shared" si="13"/>
        <v>89.615062210545844</v>
      </c>
      <c r="AD35" s="105">
        <f t="shared" si="14"/>
        <v>399.375</v>
      </c>
      <c r="AE35" s="105">
        <f t="shared" si="15"/>
        <v>448.07531105272921</v>
      </c>
      <c r="AF35" s="105">
        <f t="shared" si="16"/>
        <v>576.875</v>
      </c>
      <c r="AG35" s="103">
        <f t="shared" si="17"/>
        <v>403.26777994745629</v>
      </c>
      <c r="AH35" s="104">
        <f t="shared" si="18"/>
        <v>492.88284215800218</v>
      </c>
      <c r="AI35" s="103">
        <f t="shared" si="19"/>
        <v>358.46024884218338</v>
      </c>
      <c r="AJ35" s="102">
        <f t="shared" si="20"/>
        <v>537.69037326327509</v>
      </c>
      <c r="AK35" s="45"/>
      <c r="AL35" s="101"/>
      <c r="AM35" s="100">
        <f t="shared" si="21"/>
        <v>-1311.163515391419</v>
      </c>
      <c r="AN35" s="100"/>
      <c r="AO35" s="100">
        <f t="shared" si="22"/>
        <v>-988.83648460858103</v>
      </c>
      <c r="AP35" s="100">
        <f t="shared" si="23"/>
        <v>-4223.2675796688209</v>
      </c>
      <c r="AQ35" s="100">
        <f t="shared" si="24"/>
        <v>1359.6226365435632</v>
      </c>
      <c r="AR35" s="100">
        <f t="shared" si="25"/>
        <v>4223.2675796688209</v>
      </c>
      <c r="AS35" s="100">
        <f t="shared" si="26"/>
        <v>1120.3773634564368</v>
      </c>
      <c r="AT35" s="100">
        <f t="shared" si="39"/>
        <v>-4223.2675796688209</v>
      </c>
      <c r="AU35" s="100">
        <f t="shared" si="40"/>
        <v>290.78615193498217</v>
      </c>
      <c r="AV35" s="100">
        <f t="shared" si="27"/>
        <v>870.498965396318</v>
      </c>
      <c r="AW35" s="100">
        <f t="shared" si="28"/>
        <v>6815.5952606600886</v>
      </c>
      <c r="AX35" s="100">
        <f t="shared" si="29"/>
        <v>7991.1009988550459</v>
      </c>
      <c r="AY35" s="100">
        <f t="shared" si="30"/>
        <v>2592.3276809912677</v>
      </c>
      <c r="AZ35" s="100">
        <f t="shared" si="31"/>
        <v>7591.2226007949266</v>
      </c>
      <c r="BA35" s="100">
        <f t="shared" si="32"/>
        <v>-6815.5952606600886</v>
      </c>
      <c r="BB35" s="99">
        <f t="shared" si="33"/>
        <v>-6111.5999642513634</v>
      </c>
      <c r="BC35" s="7"/>
      <c r="BD35" s="98">
        <f t="shared" si="34"/>
        <v>0.45977892353545985</v>
      </c>
      <c r="BE35" s="97">
        <f t="shared" si="35"/>
        <v>0.86462214139131588</v>
      </c>
      <c r="BF35" s="96">
        <f t="shared" si="36"/>
        <v>26.343391827650045</v>
      </c>
      <c r="BG35" s="95">
        <f t="shared" si="37"/>
        <v>49.539199575285927</v>
      </c>
      <c r="BH35" s="7"/>
      <c r="BI35" s="7"/>
      <c r="BQ35" s="6"/>
      <c r="BR35" s="6"/>
      <c r="BS35" s="6"/>
      <c r="BT35" s="6"/>
      <c r="BU35" s="6"/>
      <c r="BV35" s="6"/>
      <c r="BW35" s="6"/>
      <c r="CU35" s="5"/>
      <c r="CV35" s="5"/>
      <c r="CW35" s="5"/>
      <c r="CX35" s="5"/>
      <c r="CY35" s="5"/>
      <c r="CZ35" s="5"/>
      <c r="DA35" s="5"/>
      <c r="DB35" s="5"/>
      <c r="DC35" s="5"/>
    </row>
    <row r="36" spans="1:107" x14ac:dyDescent="0.25">
      <c r="B36" s="110">
        <f t="shared" si="38"/>
        <v>745</v>
      </c>
      <c r="C36" s="109">
        <f t="shared" si="0"/>
        <v>453.26088516625566</v>
      </c>
      <c r="D36" s="92">
        <f t="shared" si="1"/>
        <v>10288.609520973536</v>
      </c>
      <c r="Q36" s="108">
        <f t="shared" si="2"/>
        <v>707.98569900810855</v>
      </c>
      <c r="R36" s="107">
        <f t="shared" si="3"/>
        <v>745</v>
      </c>
      <c r="S36" s="100">
        <f t="shared" si="4"/>
        <v>884.98212376013566</v>
      </c>
      <c r="T36" s="107">
        <f>0</f>
        <v>0</v>
      </c>
      <c r="U36" s="96">
        <f t="shared" si="5"/>
        <v>442.49106188006783</v>
      </c>
      <c r="V36" s="96">
        <f t="shared" si="6"/>
        <v>232.8125</v>
      </c>
      <c r="W36" s="96">
        <f t="shared" si="7"/>
        <v>176.99642475202714</v>
      </c>
      <c r="X36" s="107">
        <f t="shared" si="8"/>
        <v>745</v>
      </c>
      <c r="Y36" s="106">
        <f t="shared" si="9"/>
        <v>309.74374331604747</v>
      </c>
      <c r="Z36" s="105">
        <f t="shared" si="10"/>
        <v>302.65625</v>
      </c>
      <c r="AA36" s="105">
        <f t="shared" si="11"/>
        <v>796.48391138412205</v>
      </c>
      <c r="AB36" s="105">
        <f t="shared" si="12"/>
        <v>419.0625</v>
      </c>
      <c r="AC36" s="105">
        <f t="shared" si="13"/>
        <v>88.498212376013569</v>
      </c>
      <c r="AD36" s="105">
        <f t="shared" si="14"/>
        <v>419.0625</v>
      </c>
      <c r="AE36" s="105">
        <f t="shared" si="15"/>
        <v>442.49106188006783</v>
      </c>
      <c r="AF36" s="105">
        <f t="shared" si="16"/>
        <v>605.3125</v>
      </c>
      <c r="AG36" s="103">
        <f t="shared" si="17"/>
        <v>398.24195569206103</v>
      </c>
      <c r="AH36" s="104">
        <f t="shared" si="18"/>
        <v>486.74016806807458</v>
      </c>
      <c r="AI36" s="103">
        <f t="shared" si="19"/>
        <v>353.99284950405428</v>
      </c>
      <c r="AJ36" s="102">
        <f t="shared" si="20"/>
        <v>530.98927425608144</v>
      </c>
      <c r="AK36" s="45"/>
      <c r="AL36" s="101"/>
      <c r="AM36" s="100">
        <f t="shared" si="21"/>
        <v>-1327.7104344296001</v>
      </c>
      <c r="AN36" s="100"/>
      <c r="AO36" s="100">
        <f t="shared" si="22"/>
        <v>-972.28956557039987</v>
      </c>
      <c r="AP36" s="100">
        <f t="shared" si="23"/>
        <v>-3974.6982363777342</v>
      </c>
      <c r="AQ36" s="100">
        <f t="shared" si="24"/>
        <v>1372.0328258221991</v>
      </c>
      <c r="AR36" s="100">
        <f t="shared" si="25"/>
        <v>3974.6982363777342</v>
      </c>
      <c r="AS36" s="100">
        <f t="shared" si="26"/>
        <v>1107.9671741778009</v>
      </c>
      <c r="AT36" s="100">
        <f t="shared" si="39"/>
        <v>-3974.6982363777342</v>
      </c>
      <c r="AU36" s="100">
        <f t="shared" si="40"/>
        <v>319.74326025179926</v>
      </c>
      <c r="AV36" s="100">
        <f t="shared" si="27"/>
        <v>892.31986882898116</v>
      </c>
      <c r="AW36" s="100">
        <f t="shared" si="28"/>
        <v>6463.4237905716254</v>
      </c>
      <c r="AX36" s="100">
        <f t="shared" si="29"/>
        <v>8004.9758761997537</v>
      </c>
      <c r="AY36" s="100">
        <f t="shared" si="30"/>
        <v>2488.7255541938912</v>
      </c>
      <c r="AZ36" s="100">
        <f t="shared" si="31"/>
        <v>7639.3285708509329</v>
      </c>
      <c r="BA36" s="100">
        <f t="shared" si="32"/>
        <v>-6463.4237905716254</v>
      </c>
      <c r="BB36" s="99">
        <f t="shared" si="33"/>
        <v>-6147.295745028734</v>
      </c>
      <c r="BC36" s="7"/>
      <c r="BD36" s="98">
        <f t="shared" si="34"/>
        <v>0.48434070907128168</v>
      </c>
      <c r="BE36" s="97">
        <f t="shared" si="35"/>
        <v>0.89154385053140583</v>
      </c>
      <c r="BF36" s="96">
        <f t="shared" si="36"/>
        <v>27.750678476158107</v>
      </c>
      <c r="BG36" s="95">
        <f t="shared" si="37"/>
        <v>51.081699886291851</v>
      </c>
      <c r="BH36" s="7"/>
      <c r="BI36" s="7"/>
      <c r="BQ36" s="6"/>
      <c r="BR36" s="6"/>
      <c r="BS36" s="6"/>
      <c r="BT36" s="6"/>
      <c r="BU36" s="6"/>
      <c r="BV36" s="6"/>
      <c r="BW36" s="6"/>
      <c r="CU36" s="5"/>
      <c r="CV36" s="5"/>
      <c r="CW36" s="5"/>
      <c r="CX36" s="5"/>
      <c r="CY36" s="5"/>
      <c r="CZ36" s="5"/>
      <c r="DA36" s="5"/>
      <c r="DB36" s="5"/>
      <c r="DC36" s="5"/>
    </row>
    <row r="37" spans="1:107" x14ac:dyDescent="0.25">
      <c r="B37" s="110">
        <f t="shared" si="38"/>
        <v>780</v>
      </c>
      <c r="C37" s="109">
        <f t="shared" si="0"/>
        <v>461.87630674433524</v>
      </c>
      <c r="D37" s="92">
        <f t="shared" si="1"/>
        <v>10093.417773546156</v>
      </c>
      <c r="Q37" s="108">
        <f t="shared" si="2"/>
        <v>698.49838940401287</v>
      </c>
      <c r="R37" s="107">
        <f t="shared" si="3"/>
        <v>780</v>
      </c>
      <c r="S37" s="100">
        <f t="shared" si="4"/>
        <v>873.12298675501609</v>
      </c>
      <c r="T37" s="107">
        <f>0</f>
        <v>0</v>
      </c>
      <c r="U37" s="96">
        <f t="shared" si="5"/>
        <v>436.56149337750804</v>
      </c>
      <c r="V37" s="96">
        <f t="shared" si="6"/>
        <v>243.75</v>
      </c>
      <c r="W37" s="96">
        <f t="shared" si="7"/>
        <v>174.62459735100322</v>
      </c>
      <c r="X37" s="107">
        <f t="shared" si="8"/>
        <v>780</v>
      </c>
      <c r="Y37" s="106">
        <f t="shared" si="9"/>
        <v>305.59304536425566</v>
      </c>
      <c r="Z37" s="105">
        <f t="shared" si="10"/>
        <v>316.875</v>
      </c>
      <c r="AA37" s="105">
        <f t="shared" si="11"/>
        <v>785.81068807951453</v>
      </c>
      <c r="AB37" s="105">
        <f t="shared" si="12"/>
        <v>438.75</v>
      </c>
      <c r="AC37" s="105">
        <f t="shared" si="13"/>
        <v>87.312298675501609</v>
      </c>
      <c r="AD37" s="105">
        <f t="shared" si="14"/>
        <v>438.75</v>
      </c>
      <c r="AE37" s="105">
        <f t="shared" si="15"/>
        <v>436.56149337750804</v>
      </c>
      <c r="AF37" s="105">
        <f t="shared" si="16"/>
        <v>633.75</v>
      </c>
      <c r="AG37" s="103">
        <f t="shared" si="17"/>
        <v>392.90534403975721</v>
      </c>
      <c r="AH37" s="104">
        <f t="shared" si="18"/>
        <v>480.21764271525882</v>
      </c>
      <c r="AI37" s="103">
        <f t="shared" si="19"/>
        <v>349.24919470200643</v>
      </c>
      <c r="AJ37" s="102">
        <f t="shared" si="20"/>
        <v>523.87379205300977</v>
      </c>
      <c r="AK37" s="45"/>
      <c r="AL37" s="101"/>
      <c r="AM37" s="100">
        <f t="shared" si="21"/>
        <v>-1345.7439763061532</v>
      </c>
      <c r="AN37" s="100"/>
      <c r="AO37" s="100">
        <f t="shared" si="22"/>
        <v>-954.25602369384683</v>
      </c>
      <c r="AP37" s="100">
        <f t="shared" si="23"/>
        <v>-3745.4737354901067</v>
      </c>
      <c r="AQ37" s="100">
        <f t="shared" si="24"/>
        <v>1385.5579822296147</v>
      </c>
      <c r="AR37" s="100">
        <f t="shared" si="25"/>
        <v>3745.4737354901067</v>
      </c>
      <c r="AS37" s="100">
        <f t="shared" si="26"/>
        <v>1094.4420177703853</v>
      </c>
      <c r="AT37" s="100">
        <f t="shared" si="39"/>
        <v>-3745.4737354901067</v>
      </c>
      <c r="AU37" s="100">
        <f t="shared" si="40"/>
        <v>351.30195853576788</v>
      </c>
      <c r="AV37" s="100">
        <f t="shared" si="27"/>
        <v>913.74385782124671</v>
      </c>
      <c r="AW37" s="100">
        <f t="shared" si="28"/>
        <v>6131.8209872599318</v>
      </c>
      <c r="AX37" s="100">
        <f t="shared" si="29"/>
        <v>8017.3470507104821</v>
      </c>
      <c r="AY37" s="100">
        <f t="shared" si="30"/>
        <v>2386.3472517698251</v>
      </c>
      <c r="AZ37" s="100">
        <f t="shared" si="31"/>
        <v>7686.6488907613439</v>
      </c>
      <c r="BA37" s="100">
        <f t="shared" si="32"/>
        <v>-6131.8209872599318</v>
      </c>
      <c r="BB37" s="99">
        <f t="shared" si="33"/>
        <v>-6181.0909085317289</v>
      </c>
      <c r="BC37" s="7"/>
      <c r="BD37" s="98">
        <f t="shared" si="34"/>
        <v>0.50922417153522881</v>
      </c>
      <c r="BE37" s="97">
        <f t="shared" si="35"/>
        <v>0.91787819332751042</v>
      </c>
      <c r="BF37" s="96">
        <f t="shared" si="36"/>
        <v>29.17639585501448</v>
      </c>
      <c r="BG37" s="95">
        <f t="shared" si="37"/>
        <v>52.590546584759387</v>
      </c>
      <c r="BH37" s="7"/>
      <c r="BI37" s="7"/>
      <c r="BQ37" s="6"/>
      <c r="BR37" s="6"/>
      <c r="BS37" s="6"/>
      <c r="BT37" s="6"/>
      <c r="BU37" s="6"/>
      <c r="BV37" s="6"/>
      <c r="BW37" s="6"/>
      <c r="CU37" s="5"/>
      <c r="CV37" s="5"/>
      <c r="CW37" s="5"/>
      <c r="CX37" s="5"/>
      <c r="CY37" s="5"/>
      <c r="CZ37" s="5"/>
      <c r="DA37" s="5"/>
      <c r="DB37" s="5"/>
      <c r="DC37" s="5"/>
    </row>
    <row r="38" spans="1:107" x14ac:dyDescent="0.25">
      <c r="B38" s="110">
        <f t="shared" si="38"/>
        <v>815</v>
      </c>
      <c r="C38" s="109">
        <f t="shared" si="0"/>
        <v>470.65243084755406</v>
      </c>
      <c r="D38" s="92">
        <f t="shared" si="1"/>
        <v>9915.0097971365158</v>
      </c>
      <c r="Q38" s="108">
        <f t="shared" si="2"/>
        <v>688.43572684746675</v>
      </c>
      <c r="R38" s="107">
        <f t="shared" si="3"/>
        <v>815</v>
      </c>
      <c r="S38" s="100">
        <f t="shared" si="4"/>
        <v>860.54465855933347</v>
      </c>
      <c r="T38" s="107">
        <f>0</f>
        <v>0</v>
      </c>
      <c r="U38" s="96">
        <f t="shared" si="5"/>
        <v>430.27232927966674</v>
      </c>
      <c r="V38" s="96">
        <f t="shared" si="6"/>
        <v>254.6875</v>
      </c>
      <c r="W38" s="96">
        <f t="shared" si="7"/>
        <v>172.10893171186669</v>
      </c>
      <c r="X38" s="107">
        <f t="shared" si="8"/>
        <v>815</v>
      </c>
      <c r="Y38" s="106">
        <f t="shared" si="9"/>
        <v>301.1906304957667</v>
      </c>
      <c r="Z38" s="105">
        <f t="shared" si="10"/>
        <v>331.09375</v>
      </c>
      <c r="AA38" s="105">
        <f t="shared" si="11"/>
        <v>774.49019270340011</v>
      </c>
      <c r="AB38" s="105">
        <f t="shared" si="12"/>
        <v>458.4375</v>
      </c>
      <c r="AC38" s="105">
        <f t="shared" si="13"/>
        <v>86.054465855933344</v>
      </c>
      <c r="AD38" s="105">
        <f t="shared" si="14"/>
        <v>458.4375</v>
      </c>
      <c r="AE38" s="105">
        <f t="shared" si="15"/>
        <v>430.27232927966674</v>
      </c>
      <c r="AF38" s="105">
        <f t="shared" si="16"/>
        <v>662.1875</v>
      </c>
      <c r="AG38" s="103">
        <f t="shared" si="17"/>
        <v>387.24509635170006</v>
      </c>
      <c r="AH38" s="104">
        <f t="shared" si="18"/>
        <v>473.29956220763336</v>
      </c>
      <c r="AI38" s="103">
        <f t="shared" si="19"/>
        <v>344.21786342373338</v>
      </c>
      <c r="AJ38" s="102">
        <f t="shared" si="20"/>
        <v>516.32679513560004</v>
      </c>
      <c r="AK38" s="45"/>
      <c r="AL38" s="101"/>
      <c r="AM38" s="100">
        <f t="shared" si="21"/>
        <v>-1365.414320236566</v>
      </c>
      <c r="AN38" s="100"/>
      <c r="AO38" s="100">
        <f t="shared" si="22"/>
        <v>-934.58567976343397</v>
      </c>
      <c r="AP38" s="100">
        <f t="shared" si="23"/>
        <v>-3532.9845736681341</v>
      </c>
      <c r="AQ38" s="100">
        <f t="shared" si="24"/>
        <v>1400.3107401774246</v>
      </c>
      <c r="AR38" s="100">
        <f t="shared" si="25"/>
        <v>3532.9845736681341</v>
      </c>
      <c r="AS38" s="100">
        <f t="shared" si="26"/>
        <v>1079.6892598225754</v>
      </c>
      <c r="AT38" s="100">
        <f t="shared" si="39"/>
        <v>-3532.9845736681341</v>
      </c>
      <c r="AU38" s="100">
        <f t="shared" si="40"/>
        <v>385.7250604139906</v>
      </c>
      <c r="AV38" s="100">
        <f t="shared" si="27"/>
        <v>934.95134230040355</v>
      </c>
      <c r="AW38" s="100">
        <f t="shared" si="28"/>
        <v>5818.3759984229764</v>
      </c>
      <c r="AX38" s="100">
        <f t="shared" si="29"/>
        <v>8028.3198751848768</v>
      </c>
      <c r="AY38" s="100">
        <f t="shared" si="30"/>
        <v>2285.3914247548423</v>
      </c>
      <c r="AZ38" s="100">
        <f t="shared" si="31"/>
        <v>7733.5819576627055</v>
      </c>
      <c r="BA38" s="100">
        <f t="shared" si="32"/>
        <v>-5818.3759984229764</v>
      </c>
      <c r="BB38" s="99">
        <f t="shared" si="33"/>
        <v>-6213.2712174852804</v>
      </c>
      <c r="BC38" s="7"/>
      <c r="BD38" s="98">
        <f t="shared" si="34"/>
        <v>0.53445834981564067</v>
      </c>
      <c r="BE38" s="97">
        <f t="shared" si="35"/>
        <v>0.94366417550901005</v>
      </c>
      <c r="BF38" s="96">
        <f t="shared" si="36"/>
        <v>30.62220776996277</v>
      </c>
      <c r="BG38" s="95">
        <f t="shared" si="37"/>
        <v>54.067974534358861</v>
      </c>
      <c r="BH38" s="7"/>
      <c r="BI38" s="7"/>
      <c r="BQ38" s="6"/>
      <c r="BR38" s="6"/>
      <c r="BS38" s="6"/>
      <c r="BT38" s="6"/>
      <c r="BU38" s="6"/>
      <c r="BV38" s="6"/>
      <c r="BW38" s="6"/>
      <c r="CU38" s="5"/>
      <c r="CV38" s="5"/>
      <c r="CW38" s="5"/>
      <c r="CX38" s="5"/>
      <c r="CY38" s="5"/>
      <c r="CZ38" s="5"/>
      <c r="DA38" s="5"/>
      <c r="DB38" s="5"/>
      <c r="DC38" s="5"/>
    </row>
    <row r="39" spans="1:107" x14ac:dyDescent="0.25">
      <c r="B39" s="110">
        <f t="shared" si="38"/>
        <v>850</v>
      </c>
      <c r="C39" s="109">
        <f t="shared" si="0"/>
        <v>479.58101961795751</v>
      </c>
      <c r="D39" s="92">
        <f t="shared" si="1"/>
        <v>9751.4278313354043</v>
      </c>
      <c r="Q39" s="108">
        <f t="shared" si="2"/>
        <v>677.77208558629786</v>
      </c>
      <c r="R39" s="107">
        <f t="shared" si="3"/>
        <v>850</v>
      </c>
      <c r="S39" s="100">
        <f t="shared" si="4"/>
        <v>847.21510698287238</v>
      </c>
      <c r="T39" s="107">
        <f>0</f>
        <v>0</v>
      </c>
      <c r="U39" s="96">
        <f t="shared" si="5"/>
        <v>423.60755349143619</v>
      </c>
      <c r="V39" s="96">
        <f t="shared" si="6"/>
        <v>265.625</v>
      </c>
      <c r="W39" s="96">
        <f t="shared" si="7"/>
        <v>169.44302139657447</v>
      </c>
      <c r="X39" s="107">
        <f t="shared" si="8"/>
        <v>850</v>
      </c>
      <c r="Y39" s="106">
        <f t="shared" si="9"/>
        <v>296.52528744400536</v>
      </c>
      <c r="Z39" s="105">
        <f t="shared" si="10"/>
        <v>345.3125</v>
      </c>
      <c r="AA39" s="105">
        <f t="shared" si="11"/>
        <v>762.49359628458512</v>
      </c>
      <c r="AB39" s="105">
        <f t="shared" si="12"/>
        <v>478.125</v>
      </c>
      <c r="AC39" s="105">
        <f t="shared" si="13"/>
        <v>84.721510698287233</v>
      </c>
      <c r="AD39" s="105">
        <f t="shared" si="14"/>
        <v>478.125</v>
      </c>
      <c r="AE39" s="105">
        <f t="shared" si="15"/>
        <v>423.60755349143619</v>
      </c>
      <c r="AF39" s="105">
        <f t="shared" si="16"/>
        <v>690.625</v>
      </c>
      <c r="AG39" s="103">
        <f t="shared" si="17"/>
        <v>381.2467981422925</v>
      </c>
      <c r="AH39" s="104">
        <f t="shared" si="18"/>
        <v>465.96830884057977</v>
      </c>
      <c r="AI39" s="103">
        <f t="shared" si="19"/>
        <v>338.88604279314893</v>
      </c>
      <c r="AJ39" s="102">
        <f t="shared" si="20"/>
        <v>508.32906418972345</v>
      </c>
      <c r="AK39" s="45"/>
      <c r="AL39" s="101"/>
      <c r="AM39" s="100">
        <f t="shared" si="21"/>
        <v>-1386.8968934990371</v>
      </c>
      <c r="AN39" s="100"/>
      <c r="AO39" s="100">
        <f t="shared" si="22"/>
        <v>-913.10310650096289</v>
      </c>
      <c r="AP39" s="100">
        <f t="shared" si="23"/>
        <v>-3335.0373505466937</v>
      </c>
      <c r="AQ39" s="100">
        <f t="shared" si="24"/>
        <v>1416.4226701242776</v>
      </c>
      <c r="AR39" s="100">
        <f t="shared" si="25"/>
        <v>3335.0373505466937</v>
      </c>
      <c r="AS39" s="100">
        <f t="shared" si="26"/>
        <v>1063.5773298757224</v>
      </c>
      <c r="AT39" s="100">
        <f t="shared" si="39"/>
        <v>-3335.0373505466937</v>
      </c>
      <c r="AU39" s="100">
        <f t="shared" si="40"/>
        <v>423.31956362331471</v>
      </c>
      <c r="AV39" s="100">
        <f t="shared" si="27"/>
        <v>956.11861707179787</v>
      </c>
      <c r="AW39" s="100">
        <f t="shared" si="28"/>
        <v>5520.9842270281461</v>
      </c>
      <c r="AX39" s="100">
        <f t="shared" si="29"/>
        <v>8037.9772278011042</v>
      </c>
      <c r="AY39" s="100">
        <f t="shared" si="30"/>
        <v>2185.9468764814524</v>
      </c>
      <c r="AZ39" s="100">
        <f t="shared" si="31"/>
        <v>7780.5185149971794</v>
      </c>
      <c r="BA39" s="100">
        <f t="shared" si="32"/>
        <v>-5520.9842270281461</v>
      </c>
      <c r="BB39" s="99">
        <f t="shared" si="33"/>
        <v>-6244.0958448729016</v>
      </c>
      <c r="BC39" s="7"/>
      <c r="BD39" s="98">
        <f t="shared" si="34"/>
        <v>0.56007530622658208</v>
      </c>
      <c r="BE39" s="97">
        <f t="shared" si="35"/>
        <v>0.968942077386857</v>
      </c>
      <c r="BF39" s="96">
        <f t="shared" si="36"/>
        <v>32.089951256280308</v>
      </c>
      <c r="BG39" s="95">
        <f t="shared" si="37"/>
        <v>55.516291626905307</v>
      </c>
      <c r="BH39" s="7"/>
      <c r="BI39" s="7"/>
      <c r="BQ39" s="6"/>
      <c r="BR39" s="6"/>
      <c r="BS39" s="6"/>
      <c r="BT39" s="6"/>
      <c r="BU39" s="6"/>
      <c r="BV39" s="6"/>
      <c r="BW39" s="6"/>
      <c r="CU39" s="5"/>
      <c r="CV39" s="5"/>
      <c r="CW39" s="5"/>
      <c r="CX39" s="5"/>
      <c r="CY39" s="5"/>
      <c r="CZ39" s="5"/>
      <c r="DA39" s="5"/>
      <c r="DB39" s="5"/>
      <c r="DC39" s="5"/>
    </row>
    <row r="40" spans="1:107" x14ac:dyDescent="0.25">
      <c r="B40" s="110">
        <f t="shared" si="38"/>
        <v>885</v>
      </c>
      <c r="C40" s="109">
        <f t="shared" si="0"/>
        <v>488.65436137422381</v>
      </c>
      <c r="D40" s="92">
        <f t="shared" si="1"/>
        <v>9600.9753922194359</v>
      </c>
      <c r="Q40" s="108">
        <f t="shared" si="2"/>
        <v>666.4786193119777</v>
      </c>
      <c r="R40" s="107">
        <f t="shared" si="3"/>
        <v>885</v>
      </c>
      <c r="S40" s="100">
        <f t="shared" si="4"/>
        <v>833.09827413997209</v>
      </c>
      <c r="T40" s="107">
        <f>0</f>
        <v>0</v>
      </c>
      <c r="U40" s="96">
        <f t="shared" si="5"/>
        <v>416.54913706998605</v>
      </c>
      <c r="V40" s="96">
        <f t="shared" si="6"/>
        <v>276.5625</v>
      </c>
      <c r="W40" s="96">
        <f t="shared" si="7"/>
        <v>166.61965482799442</v>
      </c>
      <c r="X40" s="107">
        <f t="shared" si="8"/>
        <v>885</v>
      </c>
      <c r="Y40" s="106">
        <f t="shared" si="9"/>
        <v>291.58439594899022</v>
      </c>
      <c r="Z40" s="105">
        <f t="shared" si="10"/>
        <v>359.53125</v>
      </c>
      <c r="AA40" s="105">
        <f t="shared" si="11"/>
        <v>749.78844672597484</v>
      </c>
      <c r="AB40" s="105">
        <f t="shared" si="12"/>
        <v>497.8125</v>
      </c>
      <c r="AC40" s="105">
        <f t="shared" si="13"/>
        <v>83.309827413997212</v>
      </c>
      <c r="AD40" s="105">
        <f t="shared" si="14"/>
        <v>497.8125</v>
      </c>
      <c r="AE40" s="105">
        <f t="shared" si="15"/>
        <v>416.54913706998605</v>
      </c>
      <c r="AF40" s="105">
        <f t="shared" si="16"/>
        <v>719.0625</v>
      </c>
      <c r="AG40" s="103">
        <f t="shared" si="17"/>
        <v>374.89422336298742</v>
      </c>
      <c r="AH40" s="104">
        <f t="shared" si="18"/>
        <v>458.20405077698467</v>
      </c>
      <c r="AI40" s="103">
        <f t="shared" si="19"/>
        <v>333.23930965598885</v>
      </c>
      <c r="AJ40" s="102">
        <f t="shared" si="20"/>
        <v>499.85896448398324</v>
      </c>
      <c r="AK40" s="45"/>
      <c r="AL40" s="101"/>
      <c r="AM40" s="100">
        <f t="shared" si="21"/>
        <v>-1410.3978323721549</v>
      </c>
      <c r="AN40" s="100"/>
      <c r="AO40" s="100">
        <f t="shared" si="22"/>
        <v>-889.60216762784512</v>
      </c>
      <c r="AP40" s="100">
        <f t="shared" si="23"/>
        <v>-3149.7704240365488</v>
      </c>
      <c r="AQ40" s="100">
        <f t="shared" si="24"/>
        <v>1434.0483742791159</v>
      </c>
      <c r="AR40" s="100">
        <f t="shared" si="25"/>
        <v>3149.7704240365488</v>
      </c>
      <c r="AS40" s="100">
        <f t="shared" si="26"/>
        <v>1045.9516257208841</v>
      </c>
      <c r="AT40" s="100">
        <f t="shared" si="39"/>
        <v>-3149.7704240365488</v>
      </c>
      <c r="AU40" s="100">
        <f t="shared" si="40"/>
        <v>464.44620665127081</v>
      </c>
      <c r="AV40" s="100">
        <f t="shared" si="27"/>
        <v>977.42291303859702</v>
      </c>
      <c r="AW40" s="100">
        <f t="shared" si="28"/>
        <v>5237.7926562612447</v>
      </c>
      <c r="AX40" s="100">
        <f t="shared" si="29"/>
        <v>8046.3815825511865</v>
      </c>
      <c r="AY40" s="100">
        <f t="shared" si="30"/>
        <v>2088.0222322246959</v>
      </c>
      <c r="AZ40" s="100">
        <f t="shared" si="31"/>
        <v>7827.8528698688997</v>
      </c>
      <c r="BA40" s="100">
        <f t="shared" si="32"/>
        <v>-5237.7926562612447</v>
      </c>
      <c r="BB40" s="99">
        <f t="shared" si="33"/>
        <v>-6273.804495589784</v>
      </c>
      <c r="BC40" s="7"/>
      <c r="BD40" s="98">
        <f t="shared" si="34"/>
        <v>0.58611064533413271</v>
      </c>
      <c r="BE40" s="97">
        <f t="shared" si="35"/>
        <v>0.99375350844130073</v>
      </c>
      <c r="BF40" s="96">
        <f t="shared" si="36"/>
        <v>33.581666305334863</v>
      </c>
      <c r="BG40" s="95">
        <f t="shared" si="37"/>
        <v>56.937881910004762</v>
      </c>
      <c r="BH40" s="7"/>
      <c r="BI40" s="7"/>
      <c r="BQ40" s="6"/>
      <c r="BR40" s="6"/>
      <c r="BS40" s="6"/>
      <c r="BT40" s="6"/>
      <c r="BU40" s="6"/>
      <c r="BV40" s="6"/>
      <c r="BW40" s="6"/>
      <c r="CU40" s="5"/>
      <c r="CV40" s="5"/>
      <c r="CW40" s="5"/>
      <c r="CX40" s="5"/>
      <c r="CY40" s="5"/>
      <c r="CZ40" s="5"/>
      <c r="DA40" s="5"/>
      <c r="DB40" s="5"/>
      <c r="DC40" s="5"/>
    </row>
    <row r="41" spans="1:107" x14ac:dyDescent="0.25">
      <c r="B41" s="110">
        <f t="shared" si="38"/>
        <v>920</v>
      </c>
      <c r="C41" s="109">
        <f t="shared" si="0"/>
        <v>497.86525822710365</v>
      </c>
      <c r="D41" s="92">
        <f t="shared" si="1"/>
        <v>9462.1730133723831</v>
      </c>
      <c r="Q41" s="108">
        <f t="shared" si="2"/>
        <v>654.52272687814286</v>
      </c>
      <c r="R41" s="107">
        <f t="shared" si="3"/>
        <v>920</v>
      </c>
      <c r="S41" s="100">
        <f t="shared" si="4"/>
        <v>818.15340859767855</v>
      </c>
      <c r="T41" s="107">
        <f>0</f>
        <v>0</v>
      </c>
      <c r="U41" s="96">
        <f t="shared" si="5"/>
        <v>409.07670429883927</v>
      </c>
      <c r="V41" s="96">
        <f t="shared" si="6"/>
        <v>287.5</v>
      </c>
      <c r="W41" s="96">
        <f t="shared" si="7"/>
        <v>163.63068171953572</v>
      </c>
      <c r="X41" s="107">
        <f t="shared" si="8"/>
        <v>920</v>
      </c>
      <c r="Y41" s="106">
        <f t="shared" si="9"/>
        <v>286.35369300918751</v>
      </c>
      <c r="Z41" s="105">
        <f t="shared" si="10"/>
        <v>373.75</v>
      </c>
      <c r="AA41" s="105">
        <f t="shared" si="11"/>
        <v>736.33806773791071</v>
      </c>
      <c r="AB41" s="105">
        <f t="shared" si="12"/>
        <v>517.5</v>
      </c>
      <c r="AC41" s="105">
        <f t="shared" si="13"/>
        <v>81.815340859767858</v>
      </c>
      <c r="AD41" s="105">
        <f t="shared" si="14"/>
        <v>517.5</v>
      </c>
      <c r="AE41" s="105">
        <f t="shared" si="15"/>
        <v>409.07670429883927</v>
      </c>
      <c r="AF41" s="105">
        <f t="shared" si="16"/>
        <v>747.5</v>
      </c>
      <c r="AG41" s="103">
        <f t="shared" si="17"/>
        <v>368.1690338689553</v>
      </c>
      <c r="AH41" s="104">
        <f t="shared" si="18"/>
        <v>449.9843747287232</v>
      </c>
      <c r="AI41" s="103">
        <f t="shared" si="19"/>
        <v>327.26136343907137</v>
      </c>
      <c r="AJ41" s="102">
        <f t="shared" si="20"/>
        <v>490.89204515860712</v>
      </c>
      <c r="AK41" s="45"/>
      <c r="AL41" s="101"/>
      <c r="AM41" s="100">
        <f t="shared" si="21"/>
        <v>-1436.1609786775309</v>
      </c>
      <c r="AN41" s="100"/>
      <c r="AO41" s="100">
        <f t="shared" si="22"/>
        <v>-863.83902132246908</v>
      </c>
      <c r="AP41" s="100">
        <f t="shared" si="23"/>
        <v>-2975.5883751824254</v>
      </c>
      <c r="AQ41" s="100">
        <f t="shared" si="24"/>
        <v>1453.3707340081485</v>
      </c>
      <c r="AR41" s="100">
        <f t="shared" si="25"/>
        <v>2975.5883751824254</v>
      </c>
      <c r="AS41" s="100">
        <f t="shared" si="26"/>
        <v>1026.6292659918515</v>
      </c>
      <c r="AT41" s="100">
        <f t="shared" si="39"/>
        <v>-2975.5883751824254</v>
      </c>
      <c r="AU41" s="100">
        <f t="shared" si="40"/>
        <v>509.53171268567939</v>
      </c>
      <c r="AV41" s="100">
        <f t="shared" si="27"/>
        <v>999.04765012784549</v>
      </c>
      <c r="AW41" s="100">
        <f t="shared" si="28"/>
        <v>4967.1549080226951</v>
      </c>
      <c r="AX41" s="100">
        <f t="shared" si="29"/>
        <v>8053.5762400748818</v>
      </c>
      <c r="AY41" s="100">
        <f t="shared" si="30"/>
        <v>1991.5665328402697</v>
      </c>
      <c r="AZ41" s="100">
        <f t="shared" si="31"/>
        <v>7875.9946242108754</v>
      </c>
      <c r="BA41" s="100">
        <f t="shared" si="32"/>
        <v>-4967.1549080226951</v>
      </c>
      <c r="BB41" s="99">
        <f t="shared" si="33"/>
        <v>-6302.6238902027271</v>
      </c>
      <c r="BC41" s="7"/>
      <c r="BD41" s="98">
        <f t="shared" si="34"/>
        <v>0.6126041480486224</v>
      </c>
      <c r="BE41" s="97">
        <f t="shared" si="35"/>
        <v>1.018141551245729</v>
      </c>
      <c r="BF41" s="96">
        <f t="shared" si="36"/>
        <v>35.099632195393511</v>
      </c>
      <c r="BG41" s="95">
        <f t="shared" si="37"/>
        <v>58.3352138332829</v>
      </c>
      <c r="BH41" s="7"/>
      <c r="BI41" s="7"/>
      <c r="BQ41" s="6"/>
      <c r="BR41" s="6"/>
      <c r="BS41" s="6"/>
      <c r="BT41" s="6"/>
      <c r="BU41" s="6"/>
      <c r="BV41" s="6"/>
      <c r="BW41" s="6"/>
      <c r="CU41" s="5"/>
      <c r="CV41" s="5"/>
      <c r="CW41" s="5"/>
      <c r="CX41" s="5"/>
      <c r="CY41" s="5"/>
      <c r="CZ41" s="5"/>
      <c r="DA41" s="5"/>
      <c r="DB41" s="5"/>
      <c r="DC41" s="5"/>
    </row>
    <row r="42" spans="1:107" x14ac:dyDescent="0.25">
      <c r="B42" s="110">
        <f t="shared" si="38"/>
        <v>955</v>
      </c>
      <c r="C42" s="109">
        <f t="shared" si="0"/>
        <v>507.20701441223719</v>
      </c>
      <c r="D42" s="92">
        <f t="shared" si="1"/>
        <v>9333.7217063384433</v>
      </c>
      <c r="Q42" s="108">
        <f t="shared" si="2"/>
        <v>641.86739284684029</v>
      </c>
      <c r="R42" s="107">
        <f t="shared" si="3"/>
        <v>955</v>
      </c>
      <c r="S42" s="100">
        <f t="shared" si="4"/>
        <v>802.33424105855033</v>
      </c>
      <c r="T42" s="107">
        <f>0</f>
        <v>0</v>
      </c>
      <c r="U42" s="96">
        <f t="shared" si="5"/>
        <v>401.16712052927517</v>
      </c>
      <c r="V42" s="96">
        <f t="shared" si="6"/>
        <v>298.4375</v>
      </c>
      <c r="W42" s="96">
        <f t="shared" si="7"/>
        <v>160.46684821171007</v>
      </c>
      <c r="X42" s="107">
        <f t="shared" si="8"/>
        <v>955</v>
      </c>
      <c r="Y42" s="106">
        <f t="shared" si="9"/>
        <v>280.81698437049261</v>
      </c>
      <c r="Z42" s="105">
        <f t="shared" si="10"/>
        <v>387.96875</v>
      </c>
      <c r="AA42" s="105">
        <f t="shared" si="11"/>
        <v>722.10081695269525</v>
      </c>
      <c r="AB42" s="105">
        <f t="shared" si="12"/>
        <v>537.1875</v>
      </c>
      <c r="AC42" s="105">
        <f t="shared" si="13"/>
        <v>80.233424105855036</v>
      </c>
      <c r="AD42" s="105">
        <f t="shared" si="14"/>
        <v>537.1875</v>
      </c>
      <c r="AE42" s="105">
        <f t="shared" si="15"/>
        <v>401.16712052927517</v>
      </c>
      <c r="AF42" s="105">
        <f t="shared" si="16"/>
        <v>775.9375</v>
      </c>
      <c r="AG42" s="103">
        <f t="shared" si="17"/>
        <v>361.05040847634763</v>
      </c>
      <c r="AH42" s="104">
        <f t="shared" si="18"/>
        <v>441.28383258220265</v>
      </c>
      <c r="AI42" s="103">
        <f t="shared" si="19"/>
        <v>320.93369642342014</v>
      </c>
      <c r="AJ42" s="102">
        <f t="shared" si="20"/>
        <v>481.40054463513019</v>
      </c>
      <c r="AK42" s="45"/>
      <c r="AL42" s="101"/>
      <c r="AM42" s="100">
        <f t="shared" si="21"/>
        <v>-1464.4769472256069</v>
      </c>
      <c r="AN42" s="100"/>
      <c r="AO42" s="100">
        <f t="shared" si="22"/>
        <v>-835.52305277439314</v>
      </c>
      <c r="AP42" s="100">
        <f t="shared" si="23"/>
        <v>-2811.1103356878648</v>
      </c>
      <c r="AQ42" s="100">
        <f t="shared" si="24"/>
        <v>1474.6077104192068</v>
      </c>
      <c r="AR42" s="100">
        <f t="shared" si="25"/>
        <v>2811.1103356878648</v>
      </c>
      <c r="AS42" s="100">
        <f t="shared" si="26"/>
        <v>1005.3922895807932</v>
      </c>
      <c r="AT42" s="100">
        <f t="shared" si="39"/>
        <v>-2811.1103356878648</v>
      </c>
      <c r="AU42" s="100">
        <f t="shared" si="40"/>
        <v>559.08465764481366</v>
      </c>
      <c r="AV42" s="100">
        <f t="shared" si="27"/>
        <v>1021.1882446917722</v>
      </c>
      <c r="AW42" s="100">
        <f t="shared" si="28"/>
        <v>4707.5936886161908</v>
      </c>
      <c r="AX42" s="100">
        <f t="shared" si="29"/>
        <v>8059.585755749139</v>
      </c>
      <c r="AY42" s="100">
        <f t="shared" si="30"/>
        <v>1896.483352928326</v>
      </c>
      <c r="AZ42" s="100">
        <f t="shared" si="31"/>
        <v>7925.3817108601179</v>
      </c>
      <c r="BA42" s="100">
        <f t="shared" si="32"/>
        <v>-4707.5936886161908</v>
      </c>
      <c r="BB42" s="99">
        <f t="shared" si="33"/>
        <v>-6330.7740004409115</v>
      </c>
      <c r="BC42" s="7"/>
      <c r="BD42" s="98">
        <f t="shared" si="34"/>
        <v>0.639600554267444</v>
      </c>
      <c r="BE42" s="97">
        <f t="shared" si="35"/>
        <v>1.042151006144389</v>
      </c>
      <c r="BF42" s="96">
        <f t="shared" si="36"/>
        <v>36.646412333752714</v>
      </c>
      <c r="BG42" s="95">
        <f t="shared" si="37"/>
        <v>59.710854267385812</v>
      </c>
      <c r="BH42" s="7"/>
      <c r="BI42" s="7"/>
      <c r="BQ42" s="6"/>
      <c r="BR42" s="6"/>
      <c r="BS42" s="6"/>
      <c r="BT42" s="6"/>
      <c r="BU42" s="6"/>
      <c r="BV42" s="6"/>
      <c r="BW42" s="6"/>
      <c r="CU42" s="5"/>
      <c r="CV42" s="5"/>
      <c r="CW42" s="5"/>
      <c r="CX42" s="5"/>
      <c r="CY42" s="5"/>
      <c r="CZ42" s="5"/>
      <c r="DA42" s="5"/>
      <c r="DB42" s="5"/>
      <c r="DC42" s="5"/>
    </row>
    <row r="43" spans="1:107" x14ac:dyDescent="0.25">
      <c r="A43" s="80"/>
      <c r="B43" s="110">
        <f t="shared" si="38"/>
        <v>990</v>
      </c>
      <c r="C43" s="109">
        <f t="shared" si="0"/>
        <v>516.67342636341596</v>
      </c>
      <c r="D43" s="92">
        <f t="shared" si="1"/>
        <v>9214.4723270304657</v>
      </c>
      <c r="Q43" s="108">
        <f t="shared" si="2"/>
        <v>628.47036525201418</v>
      </c>
      <c r="R43" s="107">
        <f t="shared" si="3"/>
        <v>990</v>
      </c>
      <c r="S43" s="100">
        <f t="shared" si="4"/>
        <v>785.58795656501763</v>
      </c>
      <c r="T43" s="107">
        <f>0</f>
        <v>0</v>
      </c>
      <c r="U43" s="96">
        <f t="shared" si="5"/>
        <v>392.79397828250882</v>
      </c>
      <c r="V43" s="96">
        <f t="shared" si="6"/>
        <v>309.375</v>
      </c>
      <c r="W43" s="96">
        <f t="shared" si="7"/>
        <v>157.11759131300354</v>
      </c>
      <c r="X43" s="107">
        <f t="shared" si="8"/>
        <v>990</v>
      </c>
      <c r="Y43" s="106">
        <f t="shared" si="9"/>
        <v>274.95578479775617</v>
      </c>
      <c r="Z43" s="105">
        <f t="shared" si="10"/>
        <v>402.1875</v>
      </c>
      <c r="AA43" s="105">
        <f t="shared" si="11"/>
        <v>707.02916090851591</v>
      </c>
      <c r="AB43" s="105">
        <f t="shared" si="12"/>
        <v>556.875</v>
      </c>
      <c r="AC43" s="105">
        <f t="shared" si="13"/>
        <v>78.558795656501772</v>
      </c>
      <c r="AD43" s="105">
        <f t="shared" si="14"/>
        <v>556.875</v>
      </c>
      <c r="AE43" s="105">
        <f t="shared" si="15"/>
        <v>392.79397828250882</v>
      </c>
      <c r="AF43" s="105">
        <f t="shared" si="16"/>
        <v>804.375</v>
      </c>
      <c r="AG43" s="103">
        <f t="shared" si="17"/>
        <v>353.51458045425795</v>
      </c>
      <c r="AH43" s="104">
        <f t="shared" si="18"/>
        <v>432.07337611075968</v>
      </c>
      <c r="AI43" s="103">
        <f t="shared" si="19"/>
        <v>314.23518262600709</v>
      </c>
      <c r="AJ43" s="102">
        <f t="shared" si="20"/>
        <v>471.3527739390106</v>
      </c>
      <c r="AK43" s="45"/>
      <c r="AL43" s="101"/>
      <c r="AM43" s="100">
        <f t="shared" si="21"/>
        <v>-1495.6950271204335</v>
      </c>
      <c r="AN43" s="100"/>
      <c r="AO43" s="100">
        <f t="shared" si="22"/>
        <v>-804.30497287956655</v>
      </c>
      <c r="AP43" s="100">
        <f t="shared" si="23"/>
        <v>-2655.1285885520697</v>
      </c>
      <c r="AQ43" s="100">
        <f t="shared" si="24"/>
        <v>1498.0212703403256</v>
      </c>
      <c r="AR43" s="100">
        <f t="shared" si="25"/>
        <v>2655.1285885520697</v>
      </c>
      <c r="AS43" s="100">
        <f t="shared" si="26"/>
        <v>981.9787296596744</v>
      </c>
      <c r="AT43" s="100">
        <f t="shared" si="39"/>
        <v>-2655.1285885520697</v>
      </c>
      <c r="AU43" s="100">
        <f t="shared" si="40"/>
        <v>613.71629746075905</v>
      </c>
      <c r="AV43" s="100">
        <f t="shared" si="27"/>
        <v>1044.058902241034</v>
      </c>
      <c r="AW43" s="100">
        <f t="shared" si="28"/>
        <v>4457.7687654872389</v>
      </c>
      <c r="AX43" s="100">
        <f t="shared" si="29"/>
        <v>8064.4155336302347</v>
      </c>
      <c r="AY43" s="100">
        <f t="shared" si="30"/>
        <v>1802.6401769351692</v>
      </c>
      <c r="AZ43" s="100">
        <f t="shared" si="31"/>
        <v>7976.4957062115946</v>
      </c>
      <c r="BA43" s="100">
        <f t="shared" si="32"/>
        <v>-4457.7687654872389</v>
      </c>
      <c r="BB43" s="99">
        <f t="shared" si="33"/>
        <v>-6358.4744358712687</v>
      </c>
      <c r="BC43" s="7"/>
      <c r="BD43" s="98">
        <f t="shared" si="34"/>
        <v>0.66715053929621804</v>
      </c>
      <c r="BE43" s="97">
        <f t="shared" si="35"/>
        <v>1.0658287541086964</v>
      </c>
      <c r="BF43" s="96">
        <f t="shared" si="36"/>
        <v>38.224910201550074</v>
      </c>
      <c r="BG43" s="95">
        <f t="shared" si="37"/>
        <v>61.067489294115106</v>
      </c>
      <c r="BH43" s="7"/>
      <c r="BI43" s="7"/>
      <c r="BQ43" s="6"/>
      <c r="BR43" s="6"/>
      <c r="BS43" s="6"/>
      <c r="BT43" s="6"/>
      <c r="BU43" s="6"/>
      <c r="BV43" s="6"/>
      <c r="BW43" s="6"/>
      <c r="CU43" s="5"/>
      <c r="CV43" s="5"/>
      <c r="CW43" s="5"/>
      <c r="CX43" s="5"/>
      <c r="CY43" s="5"/>
      <c r="CZ43" s="5"/>
      <c r="DA43" s="5"/>
      <c r="DB43" s="5"/>
      <c r="DC43" s="5"/>
    </row>
    <row r="44" spans="1:107" x14ac:dyDescent="0.25">
      <c r="A44" s="80"/>
      <c r="B44" s="110">
        <f t="shared" si="38"/>
        <v>1025</v>
      </c>
      <c r="C44" s="109">
        <f t="shared" si="0"/>
        <v>526.25877566508052</v>
      </c>
      <c r="D44" s="92">
        <f t="shared" si="1"/>
        <v>9103.3993761707734</v>
      </c>
      <c r="Q44" s="108">
        <f t="shared" si="2"/>
        <v>614.28311876528073</v>
      </c>
      <c r="R44" s="107">
        <f t="shared" si="3"/>
        <v>1025</v>
      </c>
      <c r="S44" s="100">
        <f t="shared" si="4"/>
        <v>767.85389845660086</v>
      </c>
      <c r="T44" s="107">
        <f>0</f>
        <v>0</v>
      </c>
      <c r="U44" s="96">
        <f t="shared" si="5"/>
        <v>383.92694922830043</v>
      </c>
      <c r="V44" s="96">
        <f t="shared" si="6"/>
        <v>320.3125</v>
      </c>
      <c r="W44" s="96">
        <f t="shared" si="7"/>
        <v>153.57077969132018</v>
      </c>
      <c r="X44" s="107">
        <f t="shared" si="8"/>
        <v>1025</v>
      </c>
      <c r="Y44" s="106">
        <f t="shared" si="9"/>
        <v>268.74886445981031</v>
      </c>
      <c r="Z44" s="105">
        <f t="shared" si="10"/>
        <v>416.40625</v>
      </c>
      <c r="AA44" s="105">
        <f t="shared" si="11"/>
        <v>691.06850861094085</v>
      </c>
      <c r="AB44" s="105">
        <f t="shared" si="12"/>
        <v>576.5625</v>
      </c>
      <c r="AC44" s="105">
        <f t="shared" si="13"/>
        <v>76.785389845660092</v>
      </c>
      <c r="AD44" s="105">
        <f t="shared" si="14"/>
        <v>576.5625</v>
      </c>
      <c r="AE44" s="105">
        <f t="shared" si="15"/>
        <v>383.92694922830043</v>
      </c>
      <c r="AF44" s="105">
        <f t="shared" si="16"/>
        <v>832.8125</v>
      </c>
      <c r="AG44" s="103">
        <f t="shared" si="17"/>
        <v>345.53425430547043</v>
      </c>
      <c r="AH44" s="104">
        <f t="shared" si="18"/>
        <v>422.31964415113049</v>
      </c>
      <c r="AI44" s="103">
        <f t="shared" si="19"/>
        <v>307.14155938264037</v>
      </c>
      <c r="AJ44" s="102">
        <f t="shared" si="20"/>
        <v>460.71233907396049</v>
      </c>
      <c r="AK44" s="45"/>
      <c r="AL44" s="101"/>
      <c r="AM44" s="100">
        <f t="shared" si="21"/>
        <v>-1530.2390238061816</v>
      </c>
      <c r="AN44" s="100"/>
      <c r="AO44" s="100">
        <f t="shared" si="22"/>
        <v>-769.76097619381835</v>
      </c>
      <c r="AP44" s="100">
        <f t="shared" si="23"/>
        <v>-2506.5747748641829</v>
      </c>
      <c r="AQ44" s="100">
        <f t="shared" si="24"/>
        <v>1523.9292678546374</v>
      </c>
      <c r="AR44" s="100">
        <f t="shared" si="25"/>
        <v>2506.5747748641829</v>
      </c>
      <c r="AS44" s="100">
        <f t="shared" si="26"/>
        <v>956.07073214536263</v>
      </c>
      <c r="AT44" s="100">
        <f t="shared" si="39"/>
        <v>-2506.5747748641829</v>
      </c>
      <c r="AU44" s="100">
        <f t="shared" si="40"/>
        <v>674.16829166081902</v>
      </c>
      <c r="AV44" s="100">
        <f t="shared" si="27"/>
        <v>1067.9009647960766</v>
      </c>
      <c r="AW44" s="100">
        <f t="shared" si="28"/>
        <v>4216.4489473101785</v>
      </c>
      <c r="AX44" s="100">
        <f t="shared" si="29"/>
        <v>8068.0504755977654</v>
      </c>
      <c r="AY44" s="100">
        <f t="shared" si="30"/>
        <v>1709.8741724459956</v>
      </c>
      <c r="AZ44" s="100">
        <f t="shared" si="31"/>
        <v>8029.8807082484782</v>
      </c>
      <c r="BA44" s="100">
        <f t="shared" si="32"/>
        <v>-4216.4489473101785</v>
      </c>
      <c r="BB44" s="99">
        <f t="shared" si="33"/>
        <v>-6385.951440393841</v>
      </c>
      <c r="BC44" s="7"/>
      <c r="BD44" s="98">
        <f t="shared" si="34"/>
        <v>0.69531194645676808</v>
      </c>
      <c r="BE44" s="97">
        <f t="shared" si="35"/>
        <v>1.0892242637800906</v>
      </c>
      <c r="BF44" s="96">
        <f t="shared" si="36"/>
        <v>39.838439976999084</v>
      </c>
      <c r="BG44" s="95">
        <f t="shared" si="37"/>
        <v>62.407953257843495</v>
      </c>
      <c r="BH44" s="7"/>
      <c r="BI44" s="7"/>
      <c r="BQ44" s="6"/>
      <c r="BR44" s="6"/>
      <c r="BS44" s="6"/>
      <c r="BT44" s="6"/>
      <c r="BU44" s="6"/>
      <c r="BV44" s="6"/>
      <c r="BW44" s="6"/>
      <c r="CU44" s="5"/>
      <c r="CV44" s="5"/>
      <c r="CW44" s="5"/>
      <c r="CX44" s="5"/>
      <c r="CY44" s="5"/>
      <c r="CZ44" s="5"/>
      <c r="DA44" s="5"/>
      <c r="DB44" s="5"/>
      <c r="DC44" s="5"/>
    </row>
    <row r="45" spans="1:107" x14ac:dyDescent="0.25">
      <c r="A45" s="80"/>
      <c r="B45" s="110">
        <f t="shared" si="38"/>
        <v>1060</v>
      </c>
      <c r="C45" s="109">
        <f t="shared" si="0"/>
        <v>535.95782624824471</v>
      </c>
      <c r="D45" s="92">
        <f t="shared" si="1"/>
        <v>8999.5779729059359</v>
      </c>
      <c r="Q45" s="108">
        <f t="shared" si="2"/>
        <v>599.24953066314538</v>
      </c>
      <c r="R45" s="107">
        <f t="shared" si="3"/>
        <v>1060</v>
      </c>
      <c r="S45" s="100">
        <f t="shared" si="4"/>
        <v>749.06191332893172</v>
      </c>
      <c r="T45" s="107">
        <f>0</f>
        <v>0</v>
      </c>
      <c r="U45" s="96">
        <f t="shared" si="5"/>
        <v>374.53095666446586</v>
      </c>
      <c r="V45" s="96">
        <f t="shared" si="6"/>
        <v>331.25</v>
      </c>
      <c r="W45" s="96">
        <f t="shared" si="7"/>
        <v>149.81238266578634</v>
      </c>
      <c r="X45" s="107">
        <f t="shared" si="8"/>
        <v>1060</v>
      </c>
      <c r="Y45" s="106">
        <f t="shared" si="9"/>
        <v>262.1716696651261</v>
      </c>
      <c r="Z45" s="105">
        <f t="shared" si="10"/>
        <v>430.625</v>
      </c>
      <c r="AA45" s="105">
        <f t="shared" si="11"/>
        <v>674.15572199603855</v>
      </c>
      <c r="AB45" s="105">
        <f t="shared" si="12"/>
        <v>596.25</v>
      </c>
      <c r="AC45" s="105">
        <f t="shared" si="13"/>
        <v>74.906191332893172</v>
      </c>
      <c r="AD45" s="105">
        <f t="shared" si="14"/>
        <v>596.25</v>
      </c>
      <c r="AE45" s="105">
        <f t="shared" si="15"/>
        <v>374.53095666446586</v>
      </c>
      <c r="AF45" s="105">
        <f t="shared" si="16"/>
        <v>861.25</v>
      </c>
      <c r="AG45" s="103">
        <f t="shared" si="17"/>
        <v>337.07786099801928</v>
      </c>
      <c r="AH45" s="104">
        <f t="shared" si="18"/>
        <v>411.98405233091245</v>
      </c>
      <c r="AI45" s="103">
        <f t="shared" si="19"/>
        <v>299.62476533157269</v>
      </c>
      <c r="AJ45" s="102">
        <f t="shared" si="20"/>
        <v>449.43714799735903</v>
      </c>
      <c r="AK45" s="45"/>
      <c r="AL45" s="101"/>
      <c r="AM45" s="100">
        <f t="shared" si="21"/>
        <v>-1568.628679541511</v>
      </c>
      <c r="AN45" s="100"/>
      <c r="AO45" s="100">
        <f t="shared" si="22"/>
        <v>-731.37132045848898</v>
      </c>
      <c r="AP45" s="100">
        <f t="shared" si="23"/>
        <v>-2364.4916622628348</v>
      </c>
      <c r="AQ45" s="100">
        <f t="shared" si="24"/>
        <v>1552.7215096561322</v>
      </c>
      <c r="AR45" s="100">
        <f t="shared" si="25"/>
        <v>2364.4916622628348</v>
      </c>
      <c r="AS45" s="100">
        <f t="shared" si="26"/>
        <v>927.27849034386782</v>
      </c>
      <c r="AT45" s="100">
        <f t="shared" si="39"/>
        <v>-2364.4916622628348</v>
      </c>
      <c r="AU45" s="100">
        <f t="shared" si="40"/>
        <v>741.3501891976432</v>
      </c>
      <c r="AV45" s="100">
        <f t="shared" si="27"/>
        <v>1092.9936114887369</v>
      </c>
      <c r="AW45" s="100">
        <f t="shared" si="28"/>
        <v>3982.4867360495641</v>
      </c>
      <c r="AX45" s="100">
        <f t="shared" si="29"/>
        <v>8070.4524710578025</v>
      </c>
      <c r="AY45" s="100">
        <f t="shared" si="30"/>
        <v>1617.9950737867293</v>
      </c>
      <c r="AZ45" s="100">
        <f t="shared" si="31"/>
        <v>8086.1675922026716</v>
      </c>
      <c r="BA45" s="100">
        <f t="shared" si="32"/>
        <v>-3982.4867360495641</v>
      </c>
      <c r="BB45" s="99">
        <f t="shared" si="33"/>
        <v>-6413.4460825465394</v>
      </c>
      <c r="BC45" s="7"/>
      <c r="BD45" s="98">
        <f t="shared" si="34"/>
        <v>0.72415136347308517</v>
      </c>
      <c r="BE45" s="97">
        <f t="shared" si="35"/>
        <v>1.112390281178018</v>
      </c>
      <c r="BF45" s="96">
        <f t="shared" si="36"/>
        <v>41.490816855651822</v>
      </c>
      <c r="BG45" s="95">
        <f t="shared" si="37"/>
        <v>63.735268282871367</v>
      </c>
      <c r="BH45" s="7"/>
      <c r="BI45" s="7"/>
      <c r="BQ45" s="6"/>
      <c r="BR45" s="6"/>
      <c r="BS45" s="6"/>
      <c r="BT45" s="6"/>
      <c r="BU45" s="6"/>
      <c r="BV45" s="6"/>
      <c r="BW45" s="6"/>
      <c r="CU45" s="5"/>
      <c r="CV45" s="5"/>
      <c r="CW45" s="5"/>
      <c r="CX45" s="5"/>
      <c r="CY45" s="5"/>
      <c r="CZ45" s="5"/>
      <c r="DA45" s="5"/>
      <c r="DB45" s="5"/>
      <c r="DC45" s="5"/>
    </row>
    <row r="46" spans="1:107" x14ac:dyDescent="0.25">
      <c r="A46" s="80"/>
      <c r="B46" s="110">
        <f t="shared" si="38"/>
        <v>1095</v>
      </c>
      <c r="C46" s="109">
        <f t="shared" si="0"/>
        <v>545.76582758323923</v>
      </c>
      <c r="D46" s="92">
        <f t="shared" si="1"/>
        <v>8902.1628304714777</v>
      </c>
      <c r="Q46" s="108">
        <f t="shared" si="2"/>
        <v>583.30416593746361</v>
      </c>
      <c r="R46" s="107">
        <f t="shared" si="3"/>
        <v>1095</v>
      </c>
      <c r="S46" s="100">
        <f t="shared" si="4"/>
        <v>729.1302074218296</v>
      </c>
      <c r="T46" s="107">
        <f>0</f>
        <v>0</v>
      </c>
      <c r="U46" s="96">
        <f t="shared" si="5"/>
        <v>364.5651037109148</v>
      </c>
      <c r="V46" s="96">
        <f t="shared" si="6"/>
        <v>342.1875</v>
      </c>
      <c r="W46" s="96">
        <f t="shared" si="7"/>
        <v>145.8260414843659</v>
      </c>
      <c r="X46" s="107">
        <f t="shared" si="8"/>
        <v>1095</v>
      </c>
      <c r="Y46" s="106">
        <f t="shared" si="9"/>
        <v>255.19557259764036</v>
      </c>
      <c r="Z46" s="105">
        <f t="shared" si="10"/>
        <v>444.84375</v>
      </c>
      <c r="AA46" s="105">
        <f t="shared" si="11"/>
        <v>656.2171866796466</v>
      </c>
      <c r="AB46" s="105">
        <f t="shared" si="12"/>
        <v>615.9375</v>
      </c>
      <c r="AC46" s="105">
        <f t="shared" si="13"/>
        <v>72.913020742182951</v>
      </c>
      <c r="AD46" s="105">
        <f t="shared" si="14"/>
        <v>615.9375</v>
      </c>
      <c r="AE46" s="105">
        <f t="shared" si="15"/>
        <v>364.5651037109148</v>
      </c>
      <c r="AF46" s="105">
        <f t="shared" si="16"/>
        <v>889.6875</v>
      </c>
      <c r="AG46" s="103">
        <f t="shared" si="17"/>
        <v>328.1085933398233</v>
      </c>
      <c r="AH46" s="104">
        <f t="shared" si="18"/>
        <v>401.02161408200629</v>
      </c>
      <c r="AI46" s="103">
        <f t="shared" si="19"/>
        <v>291.6520829687318</v>
      </c>
      <c r="AJ46" s="102">
        <f t="shared" si="20"/>
        <v>437.47812445309773</v>
      </c>
      <c r="AK46" s="45"/>
      <c r="AL46" s="101"/>
      <c r="AM46" s="100">
        <f t="shared" si="21"/>
        <v>-1611.5091489005033</v>
      </c>
      <c r="AN46" s="100"/>
      <c r="AO46" s="100">
        <f t="shared" si="22"/>
        <v>-688.49085109949669</v>
      </c>
      <c r="AP46" s="100">
        <f t="shared" si="23"/>
        <v>-2228.0088347337369</v>
      </c>
      <c r="AQ46" s="100">
        <f t="shared" si="24"/>
        <v>1584.8818616753776</v>
      </c>
      <c r="AR46" s="100">
        <f t="shared" si="25"/>
        <v>2228.0088347337369</v>
      </c>
      <c r="AS46" s="100">
        <f t="shared" si="26"/>
        <v>895.11813832462235</v>
      </c>
      <c r="AT46" s="100">
        <f t="shared" si="39"/>
        <v>-2228.0088347337369</v>
      </c>
      <c r="AU46" s="100">
        <f t="shared" si="40"/>
        <v>816.39101057588096</v>
      </c>
      <c r="AV46" s="100">
        <f t="shared" si="27"/>
        <v>1119.6680858890941</v>
      </c>
      <c r="AW46" s="100">
        <f t="shared" si="28"/>
        <v>3754.7943944974577</v>
      </c>
      <c r="AX46" s="100">
        <f t="shared" si="29"/>
        <v>8071.5563626402572</v>
      </c>
      <c r="AY46" s="100">
        <f t="shared" si="30"/>
        <v>1526.7855597637208</v>
      </c>
      <c r="AZ46" s="100">
        <f t="shared" si="31"/>
        <v>8146.1063102047301</v>
      </c>
      <c r="BA46" s="100">
        <f t="shared" si="32"/>
        <v>-3754.7943944974577</v>
      </c>
      <c r="BB46" s="99">
        <f t="shared" si="33"/>
        <v>-6441.2244485293522</v>
      </c>
      <c r="BC46" s="7"/>
      <c r="BD46" s="98">
        <f t="shared" si="34"/>
        <v>0.75374616791508831</v>
      </c>
      <c r="BE46" s="97">
        <f t="shared" si="35"/>
        <v>1.1353837590735909</v>
      </c>
      <c r="BF46" s="96">
        <f t="shared" si="36"/>
        <v>43.186474245693624</v>
      </c>
      <c r="BG46" s="95">
        <f t="shared" si="37"/>
        <v>65.052697522615048</v>
      </c>
      <c r="BH46" s="7"/>
      <c r="BI46" s="7"/>
      <c r="BQ46" s="6"/>
      <c r="BR46" s="6"/>
      <c r="BS46" s="6"/>
      <c r="BT46" s="6"/>
      <c r="BU46" s="6"/>
      <c r="BV46" s="6"/>
      <c r="BW46" s="6"/>
      <c r="CU46" s="5"/>
      <c r="CV46" s="5"/>
      <c r="CW46" s="5"/>
      <c r="CX46" s="5"/>
      <c r="CY46" s="5"/>
      <c r="CZ46" s="5"/>
      <c r="DA46" s="5"/>
      <c r="DB46" s="5"/>
      <c r="DC46" s="5"/>
    </row>
    <row r="47" spans="1:107" x14ac:dyDescent="0.25">
      <c r="A47" s="80"/>
      <c r="B47" s="110">
        <f t="shared" si="38"/>
        <v>1130</v>
      </c>
      <c r="C47" s="109">
        <f t="shared" si="0"/>
        <v>555.67852626667377</v>
      </c>
      <c r="D47" s="92">
        <f t="shared" si="1"/>
        <v>8810.3680176024354</v>
      </c>
      <c r="Q47" s="108">
        <f t="shared" si="2"/>
        <v>566.37002039302888</v>
      </c>
      <c r="R47" s="107">
        <f t="shared" si="3"/>
        <v>1130</v>
      </c>
      <c r="S47" s="100">
        <f t="shared" si="4"/>
        <v>707.9625254912861</v>
      </c>
      <c r="T47" s="107">
        <f>0</f>
        <v>0</v>
      </c>
      <c r="U47" s="96">
        <f t="shared" si="5"/>
        <v>353.98126274564305</v>
      </c>
      <c r="V47" s="96">
        <f t="shared" si="6"/>
        <v>353.125</v>
      </c>
      <c r="W47" s="96">
        <f t="shared" si="7"/>
        <v>141.59250509825722</v>
      </c>
      <c r="X47" s="107">
        <f t="shared" si="8"/>
        <v>1130</v>
      </c>
      <c r="Y47" s="106">
        <f t="shared" si="9"/>
        <v>247.78688392195014</v>
      </c>
      <c r="Z47" s="105">
        <f t="shared" si="10"/>
        <v>459.0625</v>
      </c>
      <c r="AA47" s="105">
        <f t="shared" si="11"/>
        <v>637.16627294215755</v>
      </c>
      <c r="AB47" s="105">
        <f t="shared" si="12"/>
        <v>635.625</v>
      </c>
      <c r="AC47" s="105">
        <f t="shared" si="13"/>
        <v>70.79625254912861</v>
      </c>
      <c r="AD47" s="105">
        <f t="shared" si="14"/>
        <v>635.625</v>
      </c>
      <c r="AE47" s="105">
        <f t="shared" si="15"/>
        <v>353.98126274564305</v>
      </c>
      <c r="AF47" s="105">
        <f t="shared" si="16"/>
        <v>918.125</v>
      </c>
      <c r="AG47" s="103">
        <f t="shared" si="17"/>
        <v>318.58313647107877</v>
      </c>
      <c r="AH47" s="104">
        <f t="shared" si="18"/>
        <v>389.37938902020733</v>
      </c>
      <c r="AI47" s="103">
        <f t="shared" si="19"/>
        <v>283.18501019651444</v>
      </c>
      <c r="AJ47" s="102">
        <f t="shared" si="20"/>
        <v>424.77751529477166</v>
      </c>
      <c r="AK47" s="45"/>
      <c r="AL47" s="101"/>
      <c r="AM47" s="100">
        <f t="shared" si="21"/>
        <v>-1659.6923674520995</v>
      </c>
      <c r="AN47" s="100"/>
      <c r="AO47" s="100">
        <f t="shared" si="22"/>
        <v>-640.30763254790054</v>
      </c>
      <c r="AP47" s="100">
        <f t="shared" si="23"/>
        <v>-2096.3208940653481</v>
      </c>
      <c r="AQ47" s="100">
        <f t="shared" si="24"/>
        <v>1621.0192755890751</v>
      </c>
      <c r="AR47" s="100">
        <f t="shared" si="25"/>
        <v>2096.3208940653481</v>
      </c>
      <c r="AS47" s="100">
        <f t="shared" si="26"/>
        <v>858.98072441092495</v>
      </c>
      <c r="AT47" s="100">
        <f t="shared" si="39"/>
        <v>-2096.3208940653481</v>
      </c>
      <c r="AU47" s="100">
        <f t="shared" si="40"/>
        <v>900.71164304117451</v>
      </c>
      <c r="AV47" s="100">
        <f t="shared" si="27"/>
        <v>1148.3272420507503</v>
      </c>
      <c r="AW47" s="100">
        <f t="shared" si="28"/>
        <v>3532.3201168750552</v>
      </c>
      <c r="AX47" s="100">
        <f t="shared" si="29"/>
        <v>8071.2637918427408</v>
      </c>
      <c r="AY47" s="100">
        <f t="shared" si="30"/>
        <v>1435.9992228097071</v>
      </c>
      <c r="AZ47" s="100">
        <f t="shared" si="31"/>
        <v>8210.6103094825667</v>
      </c>
      <c r="BA47" s="100">
        <f t="shared" si="32"/>
        <v>-3532.3201168750552</v>
      </c>
      <c r="BB47" s="99">
        <f t="shared" si="33"/>
        <v>-6469.5910338934918</v>
      </c>
      <c r="BC47" s="7"/>
      <c r="BD47" s="98">
        <f t="shared" si="34"/>
        <v>0.7841872247136572</v>
      </c>
      <c r="BE47" s="97">
        <f t="shared" si="35"/>
        <v>1.1582671112500287</v>
      </c>
      <c r="BF47" s="96">
        <f t="shared" si="36"/>
        <v>44.930618324169643</v>
      </c>
      <c r="BG47" s="95">
        <f t="shared" si="37"/>
        <v>66.36381702343644</v>
      </c>
      <c r="BH47" s="7"/>
      <c r="BI47" s="7"/>
      <c r="BQ47" s="6"/>
      <c r="BR47" s="6"/>
      <c r="BS47" s="6"/>
      <c r="BT47" s="6"/>
      <c r="BU47" s="6"/>
      <c r="BV47" s="6"/>
      <c r="BW47" s="6"/>
      <c r="CU47" s="5"/>
      <c r="CV47" s="5"/>
      <c r="CW47" s="5"/>
      <c r="CX47" s="5"/>
      <c r="CY47" s="5"/>
      <c r="CZ47" s="5"/>
      <c r="DA47" s="5"/>
      <c r="DB47" s="5"/>
      <c r="DC47" s="5"/>
    </row>
    <row r="48" spans="1:107" x14ac:dyDescent="0.25">
      <c r="A48" s="80"/>
      <c r="B48" s="110">
        <f t="shared" si="38"/>
        <v>1165</v>
      </c>
      <c r="C48" s="109">
        <f t="shared" si="0"/>
        <v>565.69218945674731</v>
      </c>
      <c r="D48" s="92">
        <f t="shared" si="1"/>
        <v>8723.4460625432348</v>
      </c>
      <c r="Q48" s="108">
        <f t="shared" si="2"/>
        <v>548.35549600601257</v>
      </c>
      <c r="R48" s="107">
        <f t="shared" si="3"/>
        <v>1165</v>
      </c>
      <c r="S48" s="100">
        <f t="shared" si="4"/>
        <v>685.44437000751566</v>
      </c>
      <c r="T48" s="107">
        <f>0</f>
        <v>0</v>
      </c>
      <c r="U48" s="96">
        <f t="shared" si="5"/>
        <v>342.72218500375783</v>
      </c>
      <c r="V48" s="96">
        <f t="shared" si="6"/>
        <v>364.0625</v>
      </c>
      <c r="W48" s="96">
        <f t="shared" si="7"/>
        <v>137.08887400150314</v>
      </c>
      <c r="X48" s="107">
        <f t="shared" si="8"/>
        <v>1165</v>
      </c>
      <c r="Y48" s="106">
        <f t="shared" si="9"/>
        <v>239.90552950263049</v>
      </c>
      <c r="Z48" s="105">
        <f t="shared" si="10"/>
        <v>473.28125</v>
      </c>
      <c r="AA48" s="105">
        <f t="shared" si="11"/>
        <v>616.89993300676406</v>
      </c>
      <c r="AB48" s="105">
        <f t="shared" si="12"/>
        <v>655.3125</v>
      </c>
      <c r="AC48" s="105">
        <f t="shared" si="13"/>
        <v>68.544437000751572</v>
      </c>
      <c r="AD48" s="105">
        <f t="shared" si="14"/>
        <v>655.3125</v>
      </c>
      <c r="AE48" s="105">
        <f t="shared" si="15"/>
        <v>342.72218500375783</v>
      </c>
      <c r="AF48" s="105">
        <f t="shared" si="16"/>
        <v>946.5625</v>
      </c>
      <c r="AG48" s="103">
        <f t="shared" si="17"/>
        <v>308.44996650338203</v>
      </c>
      <c r="AH48" s="104">
        <f t="shared" si="18"/>
        <v>376.99440350413363</v>
      </c>
      <c r="AI48" s="103">
        <f t="shared" si="19"/>
        <v>274.17774800300629</v>
      </c>
      <c r="AJ48" s="102">
        <f t="shared" si="20"/>
        <v>411.26662200450937</v>
      </c>
      <c r="AK48" s="45"/>
      <c r="AL48" s="101"/>
      <c r="AM48" s="100">
        <f t="shared" si="21"/>
        <v>-1714.2164286608941</v>
      </c>
      <c r="AN48" s="100"/>
      <c r="AO48" s="100">
        <f t="shared" si="22"/>
        <v>-585.78357133910595</v>
      </c>
      <c r="AP48" s="100">
        <f t="shared" si="23"/>
        <v>-1968.6668343735178</v>
      </c>
      <c r="AQ48" s="100">
        <f t="shared" si="24"/>
        <v>1661.9123214956714</v>
      </c>
      <c r="AR48" s="100">
        <f t="shared" si="25"/>
        <v>1968.6668343735178</v>
      </c>
      <c r="AS48" s="100">
        <f t="shared" si="26"/>
        <v>818.08767850432855</v>
      </c>
      <c r="AT48" s="100">
        <f t="shared" si="39"/>
        <v>-1968.6668343735178</v>
      </c>
      <c r="AU48" s="100">
        <f t="shared" si="40"/>
        <v>996.1287501565655</v>
      </c>
      <c r="AV48" s="100">
        <f t="shared" si="27"/>
        <v>1179.4732445216332</v>
      </c>
      <c r="AW48" s="100">
        <f t="shared" si="28"/>
        <v>3314.0227673265967</v>
      </c>
      <c r="AX48" s="100">
        <f t="shared" si="29"/>
        <v>8069.4339518792794</v>
      </c>
      <c r="AY48" s="100">
        <f t="shared" si="30"/>
        <v>1345.355932953079</v>
      </c>
      <c r="AZ48" s="100">
        <f t="shared" si="31"/>
        <v>8280.8195178965834</v>
      </c>
      <c r="BA48" s="100">
        <f t="shared" si="32"/>
        <v>-3314.0227673265967</v>
      </c>
      <c r="BB48" s="99">
        <f t="shared" si="33"/>
        <v>-6498.9071964009117</v>
      </c>
      <c r="BC48" s="7"/>
      <c r="BD48" s="98">
        <f t="shared" si="34"/>
        <v>0.81558250954821843</v>
      </c>
      <c r="BE48" s="97">
        <f t="shared" si="35"/>
        <v>1.1811099211081375</v>
      </c>
      <c r="BF48" s="96">
        <f t="shared" si="36"/>
        <v>46.729435641801082</v>
      </c>
      <c r="BG48" s="95">
        <f t="shared" si="37"/>
        <v>67.672613620525908</v>
      </c>
      <c r="BH48" s="7"/>
      <c r="BI48" s="7"/>
      <c r="BQ48" s="6"/>
      <c r="BR48" s="6"/>
      <c r="BS48" s="6"/>
      <c r="BT48" s="6"/>
      <c r="BU48" s="6"/>
      <c r="BV48" s="6"/>
      <c r="BW48" s="6"/>
      <c r="CU48" s="5"/>
      <c r="CV48" s="5"/>
      <c r="CW48" s="5"/>
      <c r="CX48" s="5"/>
      <c r="CY48" s="5"/>
      <c r="CZ48" s="5"/>
      <c r="DA48" s="5"/>
      <c r="DB48" s="5"/>
      <c r="DC48" s="5"/>
    </row>
    <row r="49" spans="1:107" x14ac:dyDescent="0.25">
      <c r="A49" s="80"/>
      <c r="B49" s="110">
        <f t="shared" si="38"/>
        <v>1200</v>
      </c>
      <c r="C49" s="109">
        <f t="shared" si="0"/>
        <v>575.80364536367119</v>
      </c>
      <c r="D49" s="92">
        <f t="shared" si="1"/>
        <v>8640.6644429154894</v>
      </c>
      <c r="Q49" s="108">
        <f t="shared" si="2"/>
        <v>529.15026221291816</v>
      </c>
      <c r="R49" s="107">
        <f t="shared" si="3"/>
        <v>1200</v>
      </c>
      <c r="S49" s="100">
        <f t="shared" si="4"/>
        <v>661.43782776614773</v>
      </c>
      <c r="T49" s="107">
        <f>0</f>
        <v>0</v>
      </c>
      <c r="U49" s="96">
        <f t="shared" si="5"/>
        <v>330.71891388307387</v>
      </c>
      <c r="V49" s="96">
        <f t="shared" si="6"/>
        <v>375</v>
      </c>
      <c r="W49" s="96">
        <f t="shared" si="7"/>
        <v>132.28756555322954</v>
      </c>
      <c r="X49" s="107">
        <f t="shared" si="8"/>
        <v>1200</v>
      </c>
      <c r="Y49" s="106">
        <f t="shared" si="9"/>
        <v>231.50323971815175</v>
      </c>
      <c r="Z49" s="105">
        <f t="shared" si="10"/>
        <v>487.5</v>
      </c>
      <c r="AA49" s="105">
        <f t="shared" si="11"/>
        <v>595.29404498953295</v>
      </c>
      <c r="AB49" s="105">
        <f t="shared" si="12"/>
        <v>675</v>
      </c>
      <c r="AC49" s="105">
        <f t="shared" si="13"/>
        <v>66.143782776614771</v>
      </c>
      <c r="AD49" s="105">
        <f t="shared" si="14"/>
        <v>675</v>
      </c>
      <c r="AE49" s="105">
        <f t="shared" si="15"/>
        <v>330.71891388307387</v>
      </c>
      <c r="AF49" s="105">
        <f t="shared" si="16"/>
        <v>975</v>
      </c>
      <c r="AG49" s="103">
        <f t="shared" si="17"/>
        <v>297.64702249476647</v>
      </c>
      <c r="AH49" s="104">
        <f t="shared" si="18"/>
        <v>363.79080527138126</v>
      </c>
      <c r="AI49" s="103">
        <f t="shared" si="19"/>
        <v>264.57513110645908</v>
      </c>
      <c r="AJ49" s="102">
        <f t="shared" si="20"/>
        <v>396.86269665968871</v>
      </c>
      <c r="AK49" s="45"/>
      <c r="AL49" s="101"/>
      <c r="AM49" s="100">
        <f t="shared" si="21"/>
        <v>-1776.433023143368</v>
      </c>
      <c r="AN49" s="100"/>
      <c r="AO49" s="100">
        <f t="shared" si="22"/>
        <v>-523.56697685663198</v>
      </c>
      <c r="AP49" s="100">
        <f t="shared" si="23"/>
        <v>-1844.309143087941</v>
      </c>
      <c r="AQ49" s="100">
        <f t="shared" si="24"/>
        <v>1708.5747673575249</v>
      </c>
      <c r="AR49" s="100">
        <f t="shared" si="25"/>
        <v>1844.309143087941</v>
      </c>
      <c r="AS49" s="100">
        <f t="shared" si="26"/>
        <v>771.42523264247507</v>
      </c>
      <c r="AT49" s="100">
        <f t="shared" si="39"/>
        <v>-1844.309143087941</v>
      </c>
      <c r="AU49" s="100">
        <f t="shared" si="40"/>
        <v>1105.007790500893</v>
      </c>
      <c r="AV49" s="100">
        <f t="shared" si="27"/>
        <v>1213.7480712753986</v>
      </c>
      <c r="AW49" s="100">
        <f t="shared" si="28"/>
        <v>3098.8431823013689</v>
      </c>
      <c r="AX49" s="100">
        <f t="shared" si="29"/>
        <v>8065.8696336209396</v>
      </c>
      <c r="AY49" s="100">
        <f t="shared" si="30"/>
        <v>1254.5340392134278</v>
      </c>
      <c r="AZ49" s="100">
        <f t="shared" si="31"/>
        <v>8358.1924722538624</v>
      </c>
      <c r="BA49" s="100">
        <f t="shared" si="32"/>
        <v>-3098.8431823013689</v>
      </c>
      <c r="BB49" s="99">
        <f t="shared" si="33"/>
        <v>-6529.6177048963373</v>
      </c>
      <c r="BC49" s="7"/>
      <c r="BD49" s="98">
        <f t="shared" si="34"/>
        <v>0.848062078981481</v>
      </c>
      <c r="BE49" s="97">
        <f t="shared" si="35"/>
        <v>1.2039913056394789</v>
      </c>
      <c r="BF49" s="96">
        <f t="shared" si="36"/>
        <v>48.590377890729144</v>
      </c>
      <c r="BG49" s="95">
        <f t="shared" si="37"/>
        <v>68.983620383587692</v>
      </c>
      <c r="BH49" s="7"/>
      <c r="BI49" s="7"/>
      <c r="BQ49" s="6"/>
      <c r="BR49" s="6"/>
      <c r="BS49" s="6"/>
      <c r="BT49" s="6"/>
      <c r="BU49" s="6"/>
      <c r="BV49" s="6"/>
      <c r="BW49" s="6"/>
      <c r="CU49" s="5"/>
      <c r="CV49" s="5"/>
      <c r="CW49" s="5"/>
      <c r="CX49" s="5"/>
      <c r="CY49" s="5"/>
      <c r="CZ49" s="5"/>
      <c r="DA49" s="5"/>
      <c r="DB49" s="5"/>
      <c r="DC49" s="5"/>
    </row>
    <row r="50" spans="1:107" x14ac:dyDescent="0.25">
      <c r="A50" s="80"/>
      <c r="B50" s="110">
        <f t="shared" si="38"/>
        <v>1235</v>
      </c>
      <c r="C50" s="109">
        <f t="shared" si="0"/>
        <v>586.01034897813167</v>
      </c>
      <c r="D50" s="92">
        <f t="shared" si="1"/>
        <v>8561.2764838051262</v>
      </c>
      <c r="Q50" s="108">
        <f t="shared" si="2"/>
        <v>508.6194549955793</v>
      </c>
      <c r="R50" s="107">
        <f t="shared" si="3"/>
        <v>1235</v>
      </c>
      <c r="S50" s="100">
        <f t="shared" si="4"/>
        <v>635.77431874447404</v>
      </c>
      <c r="T50" s="107">
        <f>0</f>
        <v>0</v>
      </c>
      <c r="U50" s="96">
        <f t="shared" si="5"/>
        <v>317.88715937223702</v>
      </c>
      <c r="V50" s="96">
        <f t="shared" si="6"/>
        <v>385.9375</v>
      </c>
      <c r="W50" s="96">
        <f t="shared" si="7"/>
        <v>127.15486374889483</v>
      </c>
      <c r="X50" s="107">
        <f t="shared" si="8"/>
        <v>1235</v>
      </c>
      <c r="Y50" s="106">
        <f t="shared" si="9"/>
        <v>222.52101156056591</v>
      </c>
      <c r="Z50" s="105">
        <f t="shared" si="10"/>
        <v>501.71875</v>
      </c>
      <c r="AA50" s="105">
        <f t="shared" si="11"/>
        <v>572.19688687002667</v>
      </c>
      <c r="AB50" s="105">
        <f t="shared" si="12"/>
        <v>694.6875</v>
      </c>
      <c r="AC50" s="105">
        <f t="shared" si="13"/>
        <v>63.577431874447413</v>
      </c>
      <c r="AD50" s="105">
        <f t="shared" si="14"/>
        <v>694.6875</v>
      </c>
      <c r="AE50" s="105">
        <f t="shared" si="15"/>
        <v>317.88715937223702</v>
      </c>
      <c r="AF50" s="105">
        <f t="shared" si="16"/>
        <v>1003.4375</v>
      </c>
      <c r="AG50" s="103">
        <f t="shared" si="17"/>
        <v>286.09844343501334</v>
      </c>
      <c r="AH50" s="104">
        <f t="shared" si="18"/>
        <v>349.67587530946071</v>
      </c>
      <c r="AI50" s="103">
        <f t="shared" si="19"/>
        <v>254.30972749778962</v>
      </c>
      <c r="AJ50" s="102">
        <f t="shared" si="20"/>
        <v>381.46459124668445</v>
      </c>
      <c r="AK50" s="45"/>
      <c r="AL50" s="101"/>
      <c r="AM50" s="100">
        <f t="shared" si="21"/>
        <v>-1848.1400795181344</v>
      </c>
      <c r="AN50" s="100"/>
      <c r="AO50" s="100">
        <f t="shared" si="22"/>
        <v>-451.85992048186563</v>
      </c>
      <c r="AP50" s="100">
        <f t="shared" si="23"/>
        <v>-1722.510826331182</v>
      </c>
      <c r="AQ50" s="100">
        <f t="shared" si="24"/>
        <v>1762.3550596385994</v>
      </c>
      <c r="AR50" s="100">
        <f t="shared" si="25"/>
        <v>1722.510826331182</v>
      </c>
      <c r="AS50" s="100">
        <f t="shared" si="26"/>
        <v>717.64494036140059</v>
      </c>
      <c r="AT50" s="100">
        <f t="shared" si="39"/>
        <v>-1722.510826331182</v>
      </c>
      <c r="AU50" s="100">
        <f t="shared" si="40"/>
        <v>1230.4951391567338</v>
      </c>
      <c r="AV50" s="100">
        <f t="shared" si="27"/>
        <v>1251.9947413592861</v>
      </c>
      <c r="AW50" s="100">
        <f t="shared" si="28"/>
        <v>2885.6691597335221</v>
      </c>
      <c r="AX50" s="100">
        <f t="shared" si="29"/>
        <v>8060.295809256475</v>
      </c>
      <c r="AY50" s="100">
        <f t="shared" si="30"/>
        <v>1163.1583334023401</v>
      </c>
      <c r="AZ50" s="100">
        <f t="shared" si="31"/>
        <v>8444.6456102543598</v>
      </c>
      <c r="BA50" s="100">
        <f t="shared" si="32"/>
        <v>-2885.6691597335221</v>
      </c>
      <c r="BB50" s="99">
        <f t="shared" si="33"/>
        <v>-6562.2905506157604</v>
      </c>
      <c r="BC50" s="7"/>
      <c r="BD50" s="98">
        <f t="shared" si="34"/>
        <v>0.88178505471439605</v>
      </c>
      <c r="BE50" s="97">
        <f t="shared" si="35"/>
        <v>1.2270032557247248</v>
      </c>
      <c r="BF50" s="96">
        <f t="shared" si="36"/>
        <v>50.522562072847272</v>
      </c>
      <c r="BG50" s="95">
        <f t="shared" si="37"/>
        <v>70.302108001837993</v>
      </c>
      <c r="BH50" s="7"/>
      <c r="BI50" s="7"/>
      <c r="BQ50" s="6"/>
      <c r="BR50" s="6"/>
      <c r="BS50" s="6"/>
      <c r="BT50" s="6"/>
      <c r="BU50" s="6"/>
      <c r="BV50" s="6"/>
      <c r="BW50" s="6"/>
      <c r="CU50" s="5"/>
      <c r="CV50" s="5"/>
      <c r="CW50" s="5"/>
      <c r="CX50" s="5"/>
      <c r="CY50" s="5"/>
      <c r="CZ50" s="5"/>
      <c r="DA50" s="5"/>
      <c r="DB50" s="5"/>
      <c r="DC50" s="5"/>
    </row>
    <row r="51" spans="1:107" x14ac:dyDescent="0.25">
      <c r="A51" s="80"/>
      <c r="B51" s="110">
        <f t="shared" si="38"/>
        <v>1270</v>
      </c>
      <c r="C51" s="109">
        <f t="shared" si="0"/>
        <v>596.31048644763143</v>
      </c>
      <c r="D51" s="92">
        <f t="shared" si="1"/>
        <v>8484.481689791779</v>
      </c>
      <c r="Q51" s="108">
        <f t="shared" si="2"/>
        <v>486.59531440407437</v>
      </c>
      <c r="R51" s="107">
        <f t="shared" si="3"/>
        <v>1270</v>
      </c>
      <c r="S51" s="100">
        <f t="shared" si="4"/>
        <v>608.24414300509295</v>
      </c>
      <c r="T51" s="107">
        <f>0</f>
        <v>0</v>
      </c>
      <c r="U51" s="96">
        <f t="shared" si="5"/>
        <v>304.12207150254648</v>
      </c>
      <c r="V51" s="96">
        <f t="shared" si="6"/>
        <v>396.875</v>
      </c>
      <c r="W51" s="96">
        <f t="shared" si="7"/>
        <v>121.64882860101859</v>
      </c>
      <c r="X51" s="107">
        <f t="shared" si="8"/>
        <v>1270</v>
      </c>
      <c r="Y51" s="106">
        <f t="shared" si="9"/>
        <v>212.88545005178253</v>
      </c>
      <c r="Z51" s="105">
        <f t="shared" si="10"/>
        <v>515.9375</v>
      </c>
      <c r="AA51" s="105">
        <f t="shared" si="11"/>
        <v>547.41972870458369</v>
      </c>
      <c r="AB51" s="105">
        <f t="shared" si="12"/>
        <v>714.375</v>
      </c>
      <c r="AC51" s="105">
        <f t="shared" si="13"/>
        <v>60.824414300509297</v>
      </c>
      <c r="AD51" s="105">
        <f t="shared" si="14"/>
        <v>714.375</v>
      </c>
      <c r="AE51" s="105">
        <f t="shared" si="15"/>
        <v>304.12207150254648</v>
      </c>
      <c r="AF51" s="105">
        <f t="shared" si="16"/>
        <v>1031.875</v>
      </c>
      <c r="AG51" s="103">
        <f t="shared" si="17"/>
        <v>273.70986435229185</v>
      </c>
      <c r="AH51" s="104">
        <f t="shared" si="18"/>
        <v>334.53427865280111</v>
      </c>
      <c r="AI51" s="103">
        <f t="shared" si="19"/>
        <v>243.29765720203716</v>
      </c>
      <c r="AJ51" s="102">
        <f t="shared" si="20"/>
        <v>364.94648580305579</v>
      </c>
      <c r="AK51" s="45"/>
      <c r="AL51" s="101"/>
      <c r="AM51" s="100">
        <f t="shared" si="21"/>
        <v>-1931.7900772456126</v>
      </c>
      <c r="AN51" s="100"/>
      <c r="AO51" s="100">
        <f t="shared" si="22"/>
        <v>-368.20992275438743</v>
      </c>
      <c r="AP51" s="100">
        <f t="shared" si="23"/>
        <v>-1602.5077972401907</v>
      </c>
      <c r="AQ51" s="100">
        <f t="shared" si="24"/>
        <v>1825.0925579342102</v>
      </c>
      <c r="AR51" s="100">
        <f t="shared" si="25"/>
        <v>1602.5077972401907</v>
      </c>
      <c r="AS51" s="100">
        <f t="shared" si="26"/>
        <v>654.90744206578984</v>
      </c>
      <c r="AT51" s="100">
        <f t="shared" si="39"/>
        <v>-1602.5077972401907</v>
      </c>
      <c r="AU51" s="100">
        <f t="shared" si="40"/>
        <v>1376.8826351798227</v>
      </c>
      <c r="AV51" s="100">
        <f t="shared" si="27"/>
        <v>1295.3533631193536</v>
      </c>
      <c r="AW51" s="100">
        <f t="shared" si="28"/>
        <v>2673.2896653204048</v>
      </c>
      <c r="AX51" s="100">
        <f t="shared" si="29"/>
        <v>8052.3258695673185</v>
      </c>
      <c r="AY51" s="100">
        <f t="shared" si="30"/>
        <v>1070.7818680802141</v>
      </c>
      <c r="AZ51" s="100">
        <f t="shared" si="31"/>
        <v>8542.7717906208818</v>
      </c>
      <c r="BA51" s="100">
        <f t="shared" si="32"/>
        <v>-2673.2896653204048</v>
      </c>
      <c r="BB51" s="99">
        <f t="shared" si="33"/>
        <v>-6597.6792326866716</v>
      </c>
      <c r="BC51" s="7"/>
      <c r="BD51" s="98">
        <f t="shared" si="34"/>
        <v>0.91694971905319</v>
      </c>
      <c r="BE51" s="97">
        <f t="shared" si="35"/>
        <v>1.2502554829628998</v>
      </c>
      <c r="BF51" s="96">
        <f t="shared" si="36"/>
        <v>52.537348927454353</v>
      </c>
      <c r="BG51" s="95">
        <f t="shared" si="37"/>
        <v>71.634362486864561</v>
      </c>
      <c r="BH51" s="7"/>
      <c r="BI51" s="7"/>
      <c r="BQ51" s="6"/>
      <c r="BR51" s="6"/>
      <c r="BS51" s="6"/>
      <c r="BT51" s="6"/>
      <c r="BU51" s="6"/>
      <c r="BV51" s="6"/>
      <c r="BW51" s="6"/>
      <c r="CU51" s="5"/>
      <c r="CV51" s="5"/>
      <c r="CW51" s="5"/>
      <c r="CX51" s="5"/>
      <c r="CY51" s="5"/>
      <c r="CZ51" s="5"/>
      <c r="DA51" s="5"/>
      <c r="DB51" s="5"/>
      <c r="DC51" s="5"/>
    </row>
    <row r="52" spans="1:107" ht="12.75" customHeight="1" thickBot="1" x14ac:dyDescent="0.3">
      <c r="A52" s="80"/>
      <c r="B52" s="94">
        <f t="shared" si="38"/>
        <v>1305</v>
      </c>
      <c r="C52" s="93">
        <f t="shared" si="0"/>
        <v>606.70314109485093</v>
      </c>
      <c r="D52" s="92">
        <f t="shared" si="1"/>
        <v>8409.3665243275082</v>
      </c>
      <c r="Q52" s="61">
        <f t="shared" si="2"/>
        <v>462.86472105789176</v>
      </c>
      <c r="R52" s="60">
        <f t="shared" si="3"/>
        <v>1305</v>
      </c>
      <c r="S52" s="50">
        <f t="shared" si="4"/>
        <v>578.58090132236475</v>
      </c>
      <c r="T52" s="60">
        <f>0</f>
        <v>0</v>
      </c>
      <c r="U52" s="50">
        <f t="shared" si="5"/>
        <v>289.29045066118238</v>
      </c>
      <c r="V52" s="50">
        <f t="shared" si="6"/>
        <v>407.8125</v>
      </c>
      <c r="W52" s="50">
        <f t="shared" si="7"/>
        <v>115.71618026447294</v>
      </c>
      <c r="X52" s="60">
        <f t="shared" si="8"/>
        <v>1305</v>
      </c>
      <c r="Y52" s="90">
        <f t="shared" si="9"/>
        <v>202.50331546282766</v>
      </c>
      <c r="Z52" s="90">
        <f t="shared" si="10"/>
        <v>530.15625</v>
      </c>
      <c r="AA52" s="91">
        <f t="shared" si="11"/>
        <v>520.72281119012825</v>
      </c>
      <c r="AB52" s="91">
        <f t="shared" si="12"/>
        <v>734.0625</v>
      </c>
      <c r="AC52" s="91">
        <f t="shared" si="13"/>
        <v>57.85809013223647</v>
      </c>
      <c r="AD52" s="91">
        <f t="shared" si="14"/>
        <v>734.0625</v>
      </c>
      <c r="AE52" s="91">
        <f t="shared" si="15"/>
        <v>289.29045066118238</v>
      </c>
      <c r="AF52" s="90">
        <f t="shared" si="16"/>
        <v>1060.3125</v>
      </c>
      <c r="AG52" s="90">
        <f t="shared" si="17"/>
        <v>260.36140559506413</v>
      </c>
      <c r="AH52" s="91">
        <f t="shared" si="18"/>
        <v>318.21949572730057</v>
      </c>
      <c r="AI52" s="90">
        <f t="shared" si="19"/>
        <v>231.43236052894591</v>
      </c>
      <c r="AJ52" s="89">
        <f t="shared" si="20"/>
        <v>347.14854079341887</v>
      </c>
      <c r="AK52" s="45"/>
      <c r="AL52" s="88"/>
      <c r="AM52" s="50">
        <f t="shared" si="21"/>
        <v>-2030.8309474344917</v>
      </c>
      <c r="AN52" s="50"/>
      <c r="AO52" s="50">
        <f t="shared" si="22"/>
        <v>-269.16905256550831</v>
      </c>
      <c r="AP52" s="50">
        <f t="shared" si="23"/>
        <v>-1483.4725638502935</v>
      </c>
      <c r="AQ52" s="50">
        <f t="shared" si="24"/>
        <v>1899.3732105758695</v>
      </c>
      <c r="AR52" s="50">
        <f t="shared" si="25"/>
        <v>1483.4725638502935</v>
      </c>
      <c r="AS52" s="50">
        <f t="shared" si="26"/>
        <v>580.62678942413049</v>
      </c>
      <c r="AT52" s="50">
        <f t="shared" si="39"/>
        <v>-1483.4725638502935</v>
      </c>
      <c r="AU52" s="50">
        <f t="shared" si="40"/>
        <v>1550.2041580103612</v>
      </c>
      <c r="AV52" s="50">
        <f t="shared" si="27"/>
        <v>1345.4183765216462</v>
      </c>
      <c r="AW52" s="50">
        <f t="shared" si="28"/>
        <v>2460.3308239290677</v>
      </c>
      <c r="AX52" s="50">
        <f t="shared" si="29"/>
        <v>8041.4064427377762</v>
      </c>
      <c r="AY52" s="50">
        <f t="shared" si="30"/>
        <v>976.85826007877426</v>
      </c>
      <c r="AZ52" s="50">
        <f t="shared" si="31"/>
        <v>8656.1980298352919</v>
      </c>
      <c r="BA52" s="50">
        <f t="shared" si="32"/>
        <v>-2460.3308239290677</v>
      </c>
      <c r="BB52" s="87">
        <f t="shared" si="33"/>
        <v>-6636.8248192594219</v>
      </c>
      <c r="BC52" s="7"/>
      <c r="BD52" s="52">
        <f t="shared" si="34"/>
        <v>0.95380860314093996</v>
      </c>
      <c r="BE52" s="51">
        <f t="shared" si="35"/>
        <v>1.2738826857395116</v>
      </c>
      <c r="BF52" s="50">
        <f t="shared" si="36"/>
        <v>54.649207423244334</v>
      </c>
      <c r="BG52" s="49">
        <f t="shared" si="37"/>
        <v>72.988101487664196</v>
      </c>
      <c r="BH52" s="7"/>
      <c r="BI52" s="7"/>
      <c r="BQ52" s="6"/>
      <c r="BR52" s="6"/>
      <c r="BS52" s="6"/>
      <c r="BT52" s="6"/>
      <c r="BU52" s="6"/>
      <c r="BV52" s="6"/>
      <c r="BW52" s="6"/>
      <c r="CU52" s="5"/>
      <c r="CV52" s="5"/>
      <c r="CW52" s="5"/>
      <c r="CX52" s="5"/>
      <c r="CY52" s="5"/>
      <c r="CZ52" s="5"/>
      <c r="DA52" s="5"/>
      <c r="DB52" s="5"/>
      <c r="DC52" s="5"/>
    </row>
    <row r="53" spans="1:107" ht="12.75" customHeight="1" x14ac:dyDescent="0.25">
      <c r="A53" s="80"/>
      <c r="B53" s="423" t="s">
        <v>135</v>
      </c>
      <c r="C53" s="424"/>
      <c r="D53" s="424"/>
      <c r="T53" s="46"/>
      <c r="U53" s="35"/>
      <c r="V53" s="35"/>
      <c r="W53" s="35"/>
      <c r="X53" s="46"/>
      <c r="Y53" s="45"/>
      <c r="Z53" s="45"/>
      <c r="AA53" s="45"/>
      <c r="AB53" s="45"/>
      <c r="AC53" s="45"/>
      <c r="AD53" s="45"/>
      <c r="AE53" s="45"/>
      <c r="AF53" s="45"/>
      <c r="AG53" s="45"/>
      <c r="AH53" s="45"/>
      <c r="AI53" s="45"/>
      <c r="AJ53" s="45"/>
      <c r="AK53" s="45"/>
      <c r="AL53" s="45"/>
      <c r="AM53" s="86"/>
      <c r="AN53" s="86"/>
      <c r="AO53" s="86"/>
      <c r="AP53" s="84"/>
      <c r="AQ53" s="84"/>
      <c r="AR53" s="84"/>
      <c r="AS53" s="84"/>
      <c r="AV53" s="86"/>
      <c r="AW53" s="86"/>
      <c r="AX53" s="86"/>
      <c r="AY53" s="86"/>
      <c r="AZ53" s="86"/>
      <c r="BA53" s="35"/>
      <c r="BB53" s="83"/>
      <c r="BC53" s="47"/>
      <c r="BD53" s="47"/>
      <c r="BE53" s="47"/>
      <c r="BF53" s="47"/>
      <c r="BG53" s="47"/>
      <c r="BH53" s="47"/>
      <c r="BI53" s="47"/>
      <c r="DB53" s="5"/>
      <c r="DC53" s="5"/>
    </row>
    <row r="54" spans="1:107" ht="20.25" customHeight="1" x14ac:dyDescent="0.25">
      <c r="A54" s="80"/>
      <c r="B54" s="425"/>
      <c r="C54" s="425"/>
      <c r="D54" s="425"/>
      <c r="T54" s="46"/>
      <c r="U54" s="35"/>
      <c r="V54" s="35"/>
      <c r="W54" s="35"/>
      <c r="X54" s="46"/>
      <c r="Y54" s="45"/>
      <c r="Z54" s="45"/>
      <c r="AA54" s="45"/>
      <c r="AB54" s="45"/>
      <c r="AC54" s="45"/>
      <c r="AD54" s="45"/>
      <c r="AE54" s="45"/>
      <c r="AF54" s="45"/>
      <c r="AG54" s="45"/>
      <c r="AH54" s="45"/>
      <c r="AI54" s="45"/>
      <c r="AJ54" s="45"/>
      <c r="AK54" s="45"/>
      <c r="AL54" s="45"/>
      <c r="AM54" s="84"/>
      <c r="AN54" s="84"/>
      <c r="AO54" s="84"/>
      <c r="AP54" s="84"/>
      <c r="AQ54" s="84"/>
      <c r="AR54" s="84"/>
      <c r="AS54" s="84"/>
      <c r="AV54" s="84"/>
      <c r="AW54" s="84"/>
      <c r="AX54" s="84"/>
      <c r="AY54" s="84"/>
      <c r="AZ54" s="84"/>
      <c r="BA54" s="35"/>
      <c r="BB54" s="83"/>
      <c r="BC54" s="47"/>
      <c r="BD54" s="47"/>
      <c r="BE54" s="47"/>
      <c r="BF54" s="47"/>
      <c r="BG54" s="47"/>
      <c r="BH54" s="47"/>
      <c r="BI54" s="47"/>
      <c r="DB54" s="5"/>
      <c r="DC54" s="5"/>
    </row>
    <row r="55" spans="1:107" ht="12.75" customHeight="1" x14ac:dyDescent="0.25">
      <c r="A55" s="80"/>
      <c r="B55" s="425"/>
      <c r="C55" s="425"/>
      <c r="D55" s="425"/>
      <c r="K55" s="427" t="s">
        <v>134</v>
      </c>
      <c r="L55" s="427"/>
      <c r="M55" s="427"/>
      <c r="N55" s="427"/>
      <c r="O55" s="428"/>
      <c r="P55" s="85"/>
      <c r="T55" s="46"/>
      <c r="U55" s="35"/>
      <c r="V55" s="35"/>
      <c r="W55" s="35"/>
      <c r="X55" s="46"/>
      <c r="Y55" s="45"/>
      <c r="Z55" s="45"/>
      <c r="AA55" s="45"/>
      <c r="AB55" s="45"/>
      <c r="AC55" s="45"/>
      <c r="AD55" s="45"/>
      <c r="AE55" s="45"/>
      <c r="AF55" s="45"/>
      <c r="AG55" s="45"/>
      <c r="AH55" s="45"/>
      <c r="AI55" s="45"/>
      <c r="AJ55" s="45"/>
      <c r="AK55" s="45"/>
      <c r="AL55" s="45"/>
      <c r="AM55" s="84"/>
      <c r="AN55" s="84"/>
      <c r="AO55" s="84"/>
      <c r="AP55" s="84"/>
      <c r="AQ55" s="84"/>
      <c r="AR55" s="84"/>
      <c r="AS55" s="84"/>
      <c r="AV55" s="84"/>
      <c r="AW55" s="84"/>
      <c r="AX55" s="84"/>
      <c r="AY55" s="84"/>
      <c r="AZ55" s="84"/>
      <c r="BA55" s="35"/>
      <c r="BB55" s="83"/>
      <c r="BC55" s="47"/>
      <c r="BD55" s="47"/>
      <c r="BE55" s="47"/>
      <c r="BF55" s="47"/>
      <c r="BG55" s="47"/>
      <c r="BH55" s="47"/>
      <c r="BI55" s="47"/>
      <c r="DB55" s="5"/>
      <c r="DC55" s="5"/>
    </row>
    <row r="56" spans="1:107" ht="16.5" customHeight="1" thickBot="1" x14ac:dyDescent="0.3">
      <c r="A56" s="80"/>
      <c r="B56" s="426"/>
      <c r="C56" s="426"/>
      <c r="D56" s="426"/>
      <c r="L56" s="450"/>
      <c r="M56" s="450"/>
      <c r="N56" s="450"/>
      <c r="Q56" s="82" t="s">
        <v>133</v>
      </c>
      <c r="R56" s="81"/>
      <c r="S56" s="81"/>
      <c r="T56" s="81"/>
      <c r="U56" s="81"/>
      <c r="V56" s="81"/>
      <c r="W56" s="81"/>
      <c r="X56" s="81"/>
      <c r="Y56" s="81"/>
      <c r="Z56" s="81"/>
      <c r="AA56" s="81"/>
      <c r="AB56" s="81"/>
      <c r="AC56" s="81"/>
      <c r="AD56" s="81"/>
      <c r="AE56" s="81"/>
      <c r="AF56" s="81"/>
      <c r="AG56" s="81"/>
      <c r="AH56" s="81"/>
      <c r="AI56" s="81"/>
      <c r="AJ56" s="81"/>
      <c r="AK56" s="81"/>
      <c r="AL56" s="81"/>
      <c r="AM56" s="81"/>
      <c r="AN56" s="81"/>
      <c r="AO56" s="81"/>
      <c r="AP56" s="81"/>
      <c r="AQ56" s="81"/>
      <c r="AR56" s="81"/>
      <c r="AS56" s="81"/>
      <c r="AV56" s="81"/>
      <c r="AW56" s="81"/>
      <c r="AX56" s="81"/>
      <c r="AY56" s="81"/>
      <c r="AZ56" s="81"/>
      <c r="BA56" s="81"/>
      <c r="BB56" s="81"/>
      <c r="BC56" s="81"/>
      <c r="BD56" s="81"/>
      <c r="BE56" s="81"/>
      <c r="BF56" s="81"/>
      <c r="BG56" s="81"/>
      <c r="BH56" s="81"/>
      <c r="BI56" s="81"/>
      <c r="BJ56" s="81"/>
      <c r="DB56" s="5"/>
      <c r="DC56" s="5"/>
    </row>
    <row r="57" spans="1:107" ht="13.5" customHeight="1" x14ac:dyDescent="0.25">
      <c r="A57" s="80"/>
      <c r="B57" s="79" t="s">
        <v>132</v>
      </c>
      <c r="C57" s="78" t="s">
        <v>131</v>
      </c>
      <c r="D57" s="76" t="s">
        <v>130</v>
      </c>
      <c r="N57" s="77"/>
      <c r="Q57" s="430" t="s">
        <v>129</v>
      </c>
      <c r="R57" s="429"/>
      <c r="S57" s="429" t="s">
        <v>128</v>
      </c>
      <c r="T57" s="429"/>
      <c r="U57" s="429" t="s">
        <v>127</v>
      </c>
      <c r="V57" s="429"/>
      <c r="W57" s="429" t="s">
        <v>126</v>
      </c>
      <c r="X57" s="429"/>
      <c r="Y57" s="429" t="s">
        <v>125</v>
      </c>
      <c r="Z57" s="429"/>
      <c r="AA57" s="429" t="s">
        <v>124</v>
      </c>
      <c r="AB57" s="429"/>
      <c r="AC57" s="429" t="s">
        <v>123</v>
      </c>
      <c r="AD57" s="429"/>
      <c r="AE57" s="429" t="s">
        <v>122</v>
      </c>
      <c r="AF57" s="429"/>
      <c r="AG57" s="453" t="s">
        <v>121</v>
      </c>
      <c r="AH57" s="454"/>
      <c r="AI57" s="454"/>
      <c r="AJ57" s="455"/>
      <c r="AK57" s="71"/>
      <c r="AL57" s="409" t="s">
        <v>120</v>
      </c>
      <c r="AM57" s="410"/>
      <c r="AN57" s="410"/>
      <c r="AO57" s="411"/>
      <c r="AP57" s="400" t="s">
        <v>119</v>
      </c>
      <c r="AQ57" s="403"/>
      <c r="AR57" s="400" t="s">
        <v>118</v>
      </c>
      <c r="AS57" s="403"/>
      <c r="AT57" s="400" t="s">
        <v>117</v>
      </c>
      <c r="AU57" s="403"/>
      <c r="AV57" s="76" t="s">
        <v>116</v>
      </c>
      <c r="AW57" s="402" t="s">
        <v>115</v>
      </c>
      <c r="AX57" s="403"/>
      <c r="AY57" s="400" t="s">
        <v>114</v>
      </c>
      <c r="AZ57" s="401"/>
      <c r="BA57" s="400" t="s">
        <v>113</v>
      </c>
      <c r="BB57" s="431"/>
      <c r="BC57" s="7"/>
      <c r="BD57" s="75" t="s">
        <v>112</v>
      </c>
      <c r="BE57" s="74" t="s">
        <v>111</v>
      </c>
      <c r="BF57" s="74" t="s">
        <v>112</v>
      </c>
      <c r="BG57" s="73" t="s">
        <v>111</v>
      </c>
      <c r="BH57" s="7"/>
      <c r="BI57" s="7"/>
      <c r="BQ57" s="6"/>
      <c r="BR57" s="6"/>
      <c r="BS57" s="6"/>
      <c r="BT57" s="6"/>
      <c r="BU57" s="6"/>
      <c r="BV57" s="6"/>
      <c r="BW57" s="6"/>
      <c r="CU57" s="5"/>
      <c r="CV57" s="5"/>
      <c r="CW57" s="5"/>
      <c r="CX57" s="5"/>
      <c r="CY57" s="5"/>
      <c r="CZ57" s="5"/>
      <c r="DA57" s="5"/>
      <c r="DB57" s="5"/>
      <c r="DC57" s="5"/>
    </row>
    <row r="58" spans="1:107" ht="14.4" x14ac:dyDescent="0.25">
      <c r="B58" s="66" t="s">
        <v>110</v>
      </c>
      <c r="C58" s="65" t="s">
        <v>109</v>
      </c>
      <c r="D58" s="65" t="s">
        <v>108</v>
      </c>
      <c r="Q58" s="66" t="s">
        <v>107</v>
      </c>
      <c r="R58" s="65" t="s">
        <v>106</v>
      </c>
      <c r="S58" s="65" t="s">
        <v>105</v>
      </c>
      <c r="T58" s="65" t="s">
        <v>104</v>
      </c>
      <c r="U58" s="65" t="s">
        <v>103</v>
      </c>
      <c r="V58" s="65" t="s">
        <v>102</v>
      </c>
      <c r="W58" s="65" t="s">
        <v>101</v>
      </c>
      <c r="X58" s="65" t="s">
        <v>100</v>
      </c>
      <c r="Y58" s="65" t="s">
        <v>99</v>
      </c>
      <c r="Z58" s="65" t="s">
        <v>98</v>
      </c>
      <c r="AA58" s="65" t="s">
        <v>97</v>
      </c>
      <c r="AB58" s="65" t="s">
        <v>96</v>
      </c>
      <c r="AC58" s="65" t="s">
        <v>95</v>
      </c>
      <c r="AD58" s="65" t="s">
        <v>94</v>
      </c>
      <c r="AE58" s="65" t="s">
        <v>93</v>
      </c>
      <c r="AF58" s="65" t="s">
        <v>92</v>
      </c>
      <c r="AG58" s="65" t="s">
        <v>91</v>
      </c>
      <c r="AH58" s="65" t="s">
        <v>90</v>
      </c>
      <c r="AI58" s="69" t="s">
        <v>89</v>
      </c>
      <c r="AJ58" s="72" t="s">
        <v>88</v>
      </c>
      <c r="AK58" s="71"/>
      <c r="AL58" s="70" t="s">
        <v>87</v>
      </c>
      <c r="AM58" s="69" t="s">
        <v>86</v>
      </c>
      <c r="AN58" s="69" t="s">
        <v>85</v>
      </c>
      <c r="AO58" s="69" t="s">
        <v>84</v>
      </c>
      <c r="AP58" s="65" t="s">
        <v>83</v>
      </c>
      <c r="AQ58" s="65" t="s">
        <v>82</v>
      </c>
      <c r="AR58" s="65" t="s">
        <v>81</v>
      </c>
      <c r="AS58" s="65" t="s">
        <v>80</v>
      </c>
      <c r="AT58" s="65" t="s">
        <v>79</v>
      </c>
      <c r="AU58" s="65" t="s">
        <v>78</v>
      </c>
      <c r="AV58" s="65" t="s">
        <v>77</v>
      </c>
      <c r="AW58" s="65" t="s">
        <v>76</v>
      </c>
      <c r="AX58" s="65" t="s">
        <v>75</v>
      </c>
      <c r="AY58" s="65" t="s">
        <v>74</v>
      </c>
      <c r="AZ58" s="65" t="s">
        <v>73</v>
      </c>
      <c r="BA58" s="68" t="s">
        <v>72</v>
      </c>
      <c r="BB58" s="67" t="s">
        <v>71</v>
      </c>
      <c r="BC58" s="7"/>
      <c r="BD58" s="66" t="s">
        <v>70</v>
      </c>
      <c r="BE58" s="65" t="s">
        <v>69</v>
      </c>
      <c r="BF58" s="65" t="s">
        <v>68</v>
      </c>
      <c r="BG58" s="64" t="s">
        <v>67</v>
      </c>
      <c r="BH58" s="7"/>
      <c r="BI58" s="7"/>
      <c r="BQ58" s="6"/>
      <c r="BR58" s="6"/>
      <c r="BS58" s="6"/>
      <c r="BT58" s="6"/>
      <c r="BU58" s="6"/>
      <c r="BV58" s="6"/>
      <c r="BW58" s="6"/>
      <c r="CU58" s="5"/>
      <c r="CV58" s="5"/>
      <c r="CW58" s="5"/>
      <c r="CX58" s="5"/>
      <c r="CY58" s="5"/>
      <c r="CZ58" s="5"/>
      <c r="DA58" s="5"/>
      <c r="DB58" s="5"/>
      <c r="DC58" s="5"/>
    </row>
    <row r="59" spans="1:107" ht="13.8" thickBot="1" x14ac:dyDescent="0.3">
      <c r="B59" s="63">
        <v>800</v>
      </c>
      <c r="C59" s="50">
        <f>SQRT((Y59-Xj)^2+(Z59-Yj)^2)</f>
        <v>466.87209751041269</v>
      </c>
      <c r="D59" s="62">
        <f>SQRT(AW59^2+AX59^2)</f>
        <v>9989.5473085860704</v>
      </c>
      <c r="Q59" s="61">
        <f>(AD+TE)*SQRT(1-(PP/(AD+2*DS+TE))^2)</f>
        <v>692.8203230275509</v>
      </c>
      <c r="R59" s="60">
        <f>B59</f>
        <v>800</v>
      </c>
      <c r="S59" s="50">
        <f>2*U59</f>
        <v>866.02540378443859</v>
      </c>
      <c r="T59" s="60">
        <f>0</f>
        <v>0</v>
      </c>
      <c r="U59" s="50">
        <f>AD*SQRT(1-(PP/(AD+2*DS+TE))^2)</f>
        <v>433.0127018922193</v>
      </c>
      <c r="V59" s="50">
        <f>AD* PP/(AD+2*DS+TE)</f>
        <v>250</v>
      </c>
      <c r="W59" s="50">
        <f>(AD-TE)*SQRT(1-(PP/(AD+2*DS+TE))^2)</f>
        <v>173.20508075688772</v>
      </c>
      <c r="X59" s="60">
        <f>R59</f>
        <v>800</v>
      </c>
      <c r="Y59" s="59">
        <f>AC59+a*U59/AD+ b*V59/AD</f>
        <v>303.1088913245535</v>
      </c>
      <c r="Z59" s="59">
        <f>AD59-a*V59/AD + b*U59/AD</f>
        <v>325</v>
      </c>
      <c r="AA59" s="59">
        <f>(AD+DS)*SQRT(1-(PP/(AD+2*DS+TE))^2)</f>
        <v>779.42286340599469</v>
      </c>
      <c r="AB59" s="59">
        <f>(AD+DS)* PP/(AD+2*DS+TE)</f>
        <v>450</v>
      </c>
      <c r="AC59" s="59">
        <f>(AD-DS)*SQRT(1-(PP/(AD+2*DS+TE))^2)</f>
        <v>86.602540378443862</v>
      </c>
      <c r="AD59" s="59">
        <f>AB59</f>
        <v>450</v>
      </c>
      <c r="AE59" s="59">
        <f>U59</f>
        <v>433.0127018922193</v>
      </c>
      <c r="AF59" s="59">
        <f>(AD+2*DS)*PP/(AD+2*DS+TE)</f>
        <v>650</v>
      </c>
      <c r="AG59" s="58">
        <f xml:space="preserve"> AC59 + j*U59/AD- k*V59/AD</f>
        <v>389.71143170299734</v>
      </c>
      <c r="AH59" s="58">
        <f>W59+h*U59/AD+ i*V59/AD</f>
        <v>476.31397208144119</v>
      </c>
      <c r="AI59" s="58">
        <f>f*U59/AD - g*V59/AD</f>
        <v>346.41016151377539</v>
      </c>
      <c r="AJ59" s="57">
        <f>AC59 +d*U59/AD + e*V59/AD</f>
        <v>519.6152422706632</v>
      </c>
      <c r="AK59" s="45"/>
      <c r="AL59" s="56"/>
      <c r="AM59" s="55">
        <f>(Charge*EN + Pt*EM)/(Q59-W59)</f>
        <v>-1356.7731325956206</v>
      </c>
      <c r="AN59" s="55"/>
      <c r="AO59" s="55">
        <f xml:space="preserve"> Charge+Pt-AM59</f>
        <v>-943.22686740437939</v>
      </c>
      <c r="AP59" s="55">
        <f xml:space="preserve"> -(AN59*AC59*AF59-AN59*AA59*AF59-AN59*AE59*AD59-AL59*AE59*AD59+AN59*AA59*AD59+AL59*AA59*AD59+AN59*AE59*X59-AN59*AC59*X59+AL59*AE59*R59-AL59*AA59*R59+_Pb1*AC59*AE59+AM59*AC59*AE59+_Pb2*AA59*AE59+AO59*AA59*AE59-_Pb2*AH59*AE59-_Pb1*AG59*AE59-AO59*W59*AE59-AM59*Q59*AE59-_Pb2*AA59*AC59-_Pb1*AA59*AC59-AO59*AA59*AC59-AM59*AA59*AC59+_Pb2*AH59*AC59+AO59*W59*AC59+_Pb1*AG59*AA59+AM59*Q59*AA59)/(AC59*AF59-AA59*AF59-AE59*AD59+AA59*AD59+AE59*AB59-AC59*AB59)</f>
        <v>-3622.1512513284129</v>
      </c>
      <c r="AQ59" s="55">
        <f>(AL59*AD59*AF59+AN59*AB59*AF59-AN59*X59*AF59-AL59*R59*AF59-_Pb2*AC59*AF59-_Pb1*AC59*AF59-AO59*AC59*AF59-AM59*AC59*AF59+_Pb2*AH59*AF59+_Pb1*AG59*AF59+AO59*W59*AF59+AM59*Q59*AF59-AN59*AB59*AD59-AL59*AB59*AD59+AN59*X59*AD59+_Pb2*AE59*AD59+AO59*AE59*AD59-_Pb2*AH59*AD59-AO59*W59*AD59+AL59*R59*AB59-_Pb2*AE59*AB59-AO59*AE59*AB59+_Pb2*AC59*AB59+_Pb1*AC59*AB59+AO59*AC59*AB59+AM59*AC59*AB59-_Pb1*AG59*AB59-AM59*Q59*AB59)/(AC59*AF59-AA59*AF59-AE59*AD59+AA59*AD59+AE59*AB59-AC59*AB59)</f>
        <v>1393.8298494467149</v>
      </c>
      <c r="AR59" s="55">
        <f xml:space="preserve"> -AT59-AL59</f>
        <v>3622.1512513284129</v>
      </c>
      <c r="AS59" s="55">
        <f xml:space="preserve"> -AU59-AM59-_Pb1</f>
        <v>1086.1701505532851</v>
      </c>
      <c r="AT59" s="55">
        <f>AP59+AN59</f>
        <v>-3622.1512513284129</v>
      </c>
      <c r="AU59" s="55">
        <f>AQ59+AO59+_Pb2</f>
        <v>370.6029820423355</v>
      </c>
      <c r="AV59" s="55">
        <f xml:space="preserve"> (AR59*U59*Yj*AD59-AR59*U59*Z59*AD59-AR59*Xj*V59*AD59+AR59*Y59*V59*AD59-AP59*Y59*Yj*AB59+AP59*U59*Yj*AB59+AP59*Xj*Z59*AB59-AP59*U59*Z59*AB59-AP59*Xj*V59*AB59+AP59*Y59*V59*AB59-AR59*Y59*V59*Yj-AS59*U59*AC59*Yj+AQ59*Y59*AA59*Yj-AQ59*U59*AA59*Yj-_Pb3*AI59*Y59*Yj+AS59*U59*Y59*Yj-_Pb4*U59*Y59*Yj+_Pb4*U59*AJ59*Yj+_Pb3*U59*AI59*Yj+AR59*Xj*V59*Z59+AS59*U59*AC59*Z59-AQ59*Xj*AA59*Z59+AQ59*U59*AA59*Z59+_Pb3*AI59*Xj*Z59-AS59*U59*Xj*Z59+_Pb4*U59*Xj*Z59-_Pb4*U59*AJ59*Z59-_Pb3*U59*AI59*Z59+AS59*Xj*AC59*V59-AS59*Y59*AC59*V59+AQ59*Xj*AA59*V59-AQ59*Y59*AA59*V59-_Pb4*AJ59*Xj*V59-_Pb3*AI59*Xj*V59+_Pb4*AJ59*Y59*V59+_Pb3*AI59*Y59*V59)/(U59*Y59*Yj-S59*U59*Yj-U59*Xj*Z59+S59*U59*Z59+S59*Xj*V59-S59*Y59*V59)</f>
        <v>925.87758863899967</v>
      </c>
      <c r="AW59" s="55">
        <f>AX59*(Y59-Xj)/(Z59-Yj)</f>
        <v>5950.6274665795108</v>
      </c>
      <c r="AX59" s="55">
        <f xml:space="preserve"> -((Yj-Z59)*(AR59*U59*AD59+AP59*U59*AB59-AP59*S59*AB59-AR59*S59*V59-AS59*U59*AC59-AQ59*U59*AA59+AQ59*S59*AA59+_Pb4*U59*AJ59+_Pb3*U59*AI59-_Pb3*S59*AI59+AS59*S59*U59-_Pb4*S59*U59))/(U59*Y59*Yj-S59*U59*Yj-U59*Xj*Z59+S59*U59*Z59+S59*Xj*V59-S59*Y59*V59)</f>
        <v>8023.7826605952332</v>
      </c>
      <c r="AY59" s="55">
        <f xml:space="preserve"> AW59-AR59</f>
        <v>2328.476215251098</v>
      </c>
      <c r="AZ59" s="55">
        <f>AV59+_Pb4+AX59-AS59</f>
        <v>7713.490098680948</v>
      </c>
      <c r="BA59" s="54">
        <f>AP59-AY59</f>
        <v>-5950.6274665795108</v>
      </c>
      <c r="BB59" s="53">
        <f>AQ59-AZ59-_Pb3</f>
        <v>-6199.6602492342336</v>
      </c>
      <c r="BC59" s="7"/>
      <c r="BD59" s="52">
        <f>ASIN(PP/(AD+2*DS+TE))</f>
        <v>0.52359877559829893</v>
      </c>
      <c r="BE59" s="51">
        <f>ATAN((Z59-Yj)/(Y59-Xj))</f>
        <v>0.93267763234381618</v>
      </c>
      <c r="BF59" s="50">
        <f>DEGREES(BD59)</f>
        <v>30.000000000000004</v>
      </c>
      <c r="BG59" s="49">
        <f>DEGREES(BE59)</f>
        <v>53.438491979554946</v>
      </c>
      <c r="BH59" s="7"/>
      <c r="BI59" s="7"/>
      <c r="BQ59" s="6"/>
      <c r="BR59" s="6"/>
      <c r="BS59" s="6"/>
      <c r="BT59" s="6"/>
      <c r="BU59" s="6"/>
      <c r="BV59" s="6"/>
      <c r="BW59" s="6"/>
      <c r="CU59" s="5"/>
      <c r="CV59" s="5"/>
      <c r="CW59" s="5"/>
      <c r="CX59" s="5"/>
      <c r="CY59" s="5"/>
      <c r="CZ59" s="5"/>
      <c r="DA59" s="5"/>
      <c r="DB59" s="5"/>
      <c r="DC59" s="5"/>
    </row>
    <row r="60" spans="1:107" x14ac:dyDescent="0.25">
      <c r="B60" s="48"/>
      <c r="C60" s="47"/>
      <c r="D60" s="38"/>
      <c r="Q60" s="35"/>
      <c r="R60" s="46"/>
      <c r="S60" s="35"/>
      <c r="T60" s="46"/>
      <c r="U60" s="35"/>
      <c r="V60" s="35"/>
      <c r="W60" s="35"/>
      <c r="X60" s="46"/>
      <c r="Y60" s="45"/>
      <c r="Z60" s="45"/>
      <c r="AA60" s="45"/>
      <c r="AB60" s="45"/>
      <c r="AC60" s="45"/>
      <c r="AD60" s="45"/>
      <c r="AE60" s="45"/>
      <c r="AF60" s="45"/>
      <c r="AG60" s="45"/>
      <c r="AH60" s="45"/>
      <c r="AI60" s="45"/>
      <c r="AJ60" s="45"/>
      <c r="AK60" s="45"/>
      <c r="AL60" s="45"/>
      <c r="AM60" s="45"/>
      <c r="AN60" s="45"/>
      <c r="AO60" s="45"/>
      <c r="AP60" s="45"/>
      <c r="AQ60" s="45"/>
      <c r="AR60" s="45"/>
      <c r="AS60" s="45"/>
      <c r="AV60" s="45"/>
      <c r="AW60" s="45"/>
      <c r="AX60" s="45"/>
      <c r="AY60" s="45"/>
      <c r="AZ60" s="44"/>
      <c r="BA60" s="35"/>
      <c r="BB60" s="35"/>
      <c r="BC60" s="35"/>
      <c r="BD60" s="35"/>
      <c r="BE60" s="35"/>
      <c r="BF60" s="35"/>
      <c r="BG60" s="35"/>
      <c r="BH60" s="35"/>
      <c r="BI60" s="35"/>
    </row>
    <row r="61" spans="1:107" x14ac:dyDescent="0.25">
      <c r="C61" s="15"/>
      <c r="AH61" s="5"/>
      <c r="AI61" s="5"/>
      <c r="AJ61" s="5"/>
      <c r="AK61" s="5"/>
      <c r="AL61" s="5"/>
      <c r="AM61" s="5"/>
      <c r="AN61" s="5"/>
      <c r="AO61" s="5"/>
      <c r="AP61" s="5"/>
      <c r="AQ61" s="5"/>
      <c r="AR61" s="5"/>
      <c r="AS61" s="5"/>
      <c r="AV61" s="5"/>
      <c r="AW61" s="5"/>
      <c r="AX61" s="5"/>
      <c r="AY61" s="5"/>
      <c r="AZ61" s="5"/>
      <c r="BA61" s="8"/>
      <c r="BB61" s="5"/>
    </row>
    <row r="62" spans="1:107" ht="12.75" customHeight="1" x14ac:dyDescent="0.25">
      <c r="S62" s="40"/>
      <c r="T62" s="40"/>
      <c r="U62" s="40"/>
      <c r="V62" s="40"/>
      <c r="W62" s="40"/>
      <c r="X62" s="40"/>
      <c r="Y62" s="40"/>
      <c r="Z62" s="40"/>
      <c r="AA62" s="40"/>
      <c r="AB62" s="40"/>
      <c r="AC62" s="40"/>
      <c r="AD62" s="40"/>
      <c r="AE62" s="40"/>
      <c r="AF62" s="40"/>
      <c r="AH62" s="5"/>
      <c r="AI62" s="5"/>
      <c r="AJ62" s="5"/>
      <c r="AK62" s="5"/>
      <c r="AL62" s="5"/>
      <c r="AM62" s="5"/>
      <c r="AN62" s="5"/>
      <c r="AO62" s="5"/>
      <c r="AP62" s="5"/>
      <c r="AQ62" s="5"/>
      <c r="AR62" s="5"/>
      <c r="AS62" s="5"/>
      <c r="AV62" s="5"/>
      <c r="AW62" s="5"/>
      <c r="AX62" s="5"/>
      <c r="AY62" s="5"/>
      <c r="AZ62" s="5"/>
      <c r="BA62" s="8"/>
      <c r="BB62" s="5"/>
    </row>
    <row r="63" spans="1:107" x14ac:dyDescent="0.25">
      <c r="V63" s="40"/>
      <c r="W63" s="40"/>
      <c r="X63" s="40"/>
      <c r="Y63" s="40"/>
      <c r="Z63" s="40"/>
      <c r="AA63" s="40"/>
      <c r="AB63" s="40"/>
      <c r="AC63" s="40"/>
      <c r="AD63" s="40"/>
      <c r="AE63" s="40"/>
      <c r="AF63" s="40"/>
      <c r="AH63" s="5"/>
      <c r="AI63" s="5"/>
      <c r="AJ63" s="5"/>
      <c r="AK63" s="5"/>
      <c r="AL63" s="5"/>
      <c r="AM63" s="5"/>
      <c r="AN63" s="5"/>
      <c r="AO63" s="5"/>
      <c r="AP63" s="5"/>
      <c r="AQ63" s="5"/>
      <c r="AR63" s="5"/>
      <c r="AS63" s="5"/>
      <c r="AV63" s="5"/>
      <c r="AW63" s="5"/>
      <c r="AX63" s="5"/>
      <c r="AY63" s="5"/>
      <c r="AZ63" s="5"/>
      <c r="BA63" s="8"/>
      <c r="BB63" s="5"/>
    </row>
    <row r="64" spans="1:107" x14ac:dyDescent="0.25">
      <c r="Q64" s="43"/>
      <c r="R64" s="43"/>
      <c r="S64" s="43"/>
      <c r="T64" s="43"/>
      <c r="U64" s="43"/>
      <c r="V64" s="43"/>
      <c r="W64" s="40"/>
      <c r="X64" s="40"/>
      <c r="Y64" s="40"/>
      <c r="Z64" s="40"/>
      <c r="AA64" s="40"/>
      <c r="AB64" s="40"/>
      <c r="AC64" s="40"/>
      <c r="AD64" s="40"/>
      <c r="AE64" s="40"/>
      <c r="AF64" s="40"/>
      <c r="AH64" s="5"/>
      <c r="AI64" s="5"/>
      <c r="AJ64" s="5"/>
      <c r="AK64" s="5"/>
      <c r="AL64" s="5"/>
      <c r="AM64" s="5"/>
      <c r="AN64" s="5"/>
      <c r="AO64" s="5"/>
      <c r="AP64" s="5"/>
      <c r="AQ64" s="5"/>
      <c r="AR64" s="5"/>
      <c r="AS64" s="5"/>
      <c r="AV64" s="5"/>
      <c r="AW64" s="5"/>
      <c r="AX64" s="5"/>
      <c r="AY64" s="5"/>
      <c r="AZ64" s="5"/>
      <c r="BA64" s="8"/>
      <c r="BB64" s="5"/>
    </row>
    <row r="65" spans="5:54" ht="12.75" customHeight="1" x14ac:dyDescent="0.25">
      <c r="Q65" s="42"/>
      <c r="R65" s="42"/>
      <c r="S65" s="42"/>
      <c r="T65" s="42"/>
      <c r="U65" s="25"/>
      <c r="V65" s="40"/>
      <c r="W65" s="40"/>
      <c r="X65" s="40"/>
      <c r="Y65" s="40"/>
      <c r="Z65" s="40"/>
      <c r="AA65" s="40"/>
      <c r="AB65" s="40"/>
      <c r="AC65" s="40"/>
      <c r="AD65" s="40"/>
      <c r="AE65" s="40"/>
      <c r="AF65" s="40"/>
      <c r="AH65" s="5"/>
      <c r="AI65" s="5"/>
      <c r="AJ65" s="5"/>
      <c r="AK65" s="5"/>
      <c r="AL65" s="5"/>
      <c r="AM65" s="5"/>
      <c r="AN65" s="5"/>
      <c r="AO65" s="5"/>
      <c r="AP65" s="5"/>
      <c r="AQ65" s="5"/>
      <c r="AR65" s="5"/>
      <c r="AS65" s="5"/>
      <c r="AV65" s="5"/>
      <c r="AW65" s="5"/>
      <c r="AX65" s="5"/>
      <c r="AY65" s="5"/>
      <c r="AZ65" s="5"/>
      <c r="BA65" s="8"/>
      <c r="BB65" s="5"/>
    </row>
    <row r="66" spans="5:54" ht="12.75" customHeight="1" x14ac:dyDescent="0.25">
      <c r="Q66" s="41"/>
      <c r="R66" s="41"/>
      <c r="S66" s="41"/>
      <c r="T66" s="41"/>
      <c r="U66" s="41"/>
      <c r="V66" s="41"/>
      <c r="W66" s="41"/>
      <c r="X66" s="41"/>
      <c r="Y66" s="41"/>
      <c r="Z66" s="40"/>
      <c r="AA66" s="40"/>
      <c r="AB66" s="40"/>
      <c r="AC66" s="40"/>
      <c r="AD66" s="40"/>
      <c r="AE66" s="40"/>
      <c r="AF66" s="40"/>
      <c r="AH66" s="5"/>
      <c r="AI66" s="5"/>
      <c r="AJ66" s="5"/>
      <c r="AK66" s="5"/>
      <c r="AL66" s="5"/>
      <c r="AM66" s="5"/>
      <c r="AN66" s="5"/>
      <c r="AO66" s="5"/>
      <c r="AP66" s="5"/>
      <c r="AQ66" s="5"/>
      <c r="AR66" s="5"/>
      <c r="AS66" s="5"/>
      <c r="AV66" s="5"/>
      <c r="AW66" s="5"/>
      <c r="AX66" s="5"/>
      <c r="AY66" s="5"/>
      <c r="AZ66" s="5"/>
      <c r="BA66" s="8"/>
      <c r="BB66" s="5"/>
    </row>
    <row r="67" spans="5:54" x14ac:dyDescent="0.25">
      <c r="K67" s="427" t="s">
        <v>66</v>
      </c>
      <c r="L67" s="427"/>
      <c r="M67" s="427"/>
      <c r="N67" s="427"/>
      <c r="O67" s="428"/>
      <c r="Q67" s="41"/>
      <c r="R67" s="41"/>
      <c r="S67" s="41"/>
      <c r="T67" s="41"/>
      <c r="U67" s="41"/>
      <c r="V67" s="41"/>
      <c r="W67" s="40"/>
      <c r="X67" s="40"/>
      <c r="Y67" s="40"/>
      <c r="Z67" s="40"/>
      <c r="AA67" s="40"/>
      <c r="AB67" s="40"/>
      <c r="AC67" s="40"/>
      <c r="AD67" s="40"/>
      <c r="AE67" s="40"/>
      <c r="AF67" s="40"/>
      <c r="AH67" s="5"/>
      <c r="AI67" s="5"/>
      <c r="AJ67" s="5"/>
      <c r="AK67" s="5"/>
      <c r="AL67" s="5"/>
      <c r="AM67" s="5"/>
      <c r="AN67" s="5"/>
      <c r="AO67" s="5"/>
      <c r="AP67" s="5"/>
      <c r="AQ67" s="5"/>
      <c r="AR67" s="5"/>
      <c r="AS67" s="5"/>
      <c r="AV67" s="5"/>
      <c r="AW67" s="5"/>
      <c r="AX67" s="5"/>
      <c r="AY67" s="5"/>
      <c r="AZ67" s="5"/>
      <c r="BA67" s="8"/>
      <c r="BB67" s="5"/>
    </row>
    <row r="68" spans="5:54" x14ac:dyDescent="0.25">
      <c r="L68" s="450"/>
      <c r="M68" s="450"/>
      <c r="N68" s="450"/>
      <c r="Q68" s="39"/>
      <c r="R68" s="25"/>
      <c r="S68" s="25"/>
      <c r="T68" s="25"/>
      <c r="U68" s="25"/>
      <c r="AH68" s="5"/>
      <c r="AI68" s="5"/>
      <c r="AJ68" s="5"/>
      <c r="AK68" s="5"/>
      <c r="AL68" s="5"/>
      <c r="AM68" s="5"/>
      <c r="AN68" s="5"/>
      <c r="AO68" s="5"/>
      <c r="AP68" s="5"/>
      <c r="AQ68" s="5"/>
      <c r="AR68" s="5"/>
      <c r="AS68" s="5"/>
      <c r="AV68" s="5"/>
      <c r="AW68" s="5"/>
      <c r="AX68" s="5"/>
      <c r="AY68" s="5"/>
      <c r="AZ68" s="5"/>
      <c r="BA68" s="8"/>
      <c r="BB68" s="5"/>
    </row>
    <row r="69" spans="5:54" x14ac:dyDescent="0.25">
      <c r="F69" s="38"/>
      <c r="G69" s="35"/>
      <c r="H69" s="35"/>
      <c r="Q69" s="26"/>
      <c r="R69" s="26"/>
      <c r="S69" s="26"/>
      <c r="T69" s="26"/>
      <c r="U69" s="25"/>
      <c r="AH69" s="5"/>
      <c r="AI69" s="5"/>
      <c r="AJ69" s="5"/>
      <c r="AK69" s="5"/>
      <c r="AL69" s="5"/>
      <c r="AM69" s="5"/>
      <c r="AN69" s="5"/>
      <c r="AO69" s="5"/>
      <c r="AP69" s="5"/>
      <c r="AQ69" s="5"/>
      <c r="AR69" s="5"/>
      <c r="AS69" s="5"/>
      <c r="AV69" s="5"/>
      <c r="AW69" s="5"/>
      <c r="AX69" s="5"/>
      <c r="AY69" s="5"/>
      <c r="AZ69" s="5"/>
      <c r="BA69" s="8"/>
      <c r="BB69" s="5"/>
    </row>
    <row r="70" spans="5:54" ht="12.75" customHeight="1" x14ac:dyDescent="0.25">
      <c r="E70" s="37"/>
      <c r="F70" s="36"/>
      <c r="G70" s="34"/>
      <c r="H70" s="35"/>
      <c r="Q70" s="19"/>
      <c r="R70" s="19"/>
      <c r="S70" s="19"/>
      <c r="T70" s="19"/>
      <c r="U70" s="19"/>
      <c r="V70" s="19"/>
      <c r="AH70" s="5"/>
      <c r="AI70" s="5"/>
      <c r="AJ70" s="5"/>
      <c r="AK70" s="5"/>
      <c r="AL70" s="5"/>
      <c r="AM70" s="5"/>
      <c r="AN70" s="5"/>
      <c r="AO70" s="5"/>
      <c r="AP70" s="5"/>
      <c r="AQ70" s="5"/>
      <c r="AR70" s="5"/>
      <c r="AS70" s="5"/>
      <c r="AV70" s="5"/>
      <c r="AW70" s="5"/>
      <c r="AX70" s="5"/>
      <c r="AY70" s="5"/>
      <c r="AZ70" s="5"/>
      <c r="BA70" s="8"/>
      <c r="BB70" s="5"/>
    </row>
    <row r="71" spans="5:54" ht="12.75" customHeight="1" x14ac:dyDescent="0.25">
      <c r="E71" s="34"/>
      <c r="Q71" s="19"/>
      <c r="R71" s="19"/>
      <c r="S71" s="19"/>
      <c r="T71" s="19"/>
      <c r="U71" s="19"/>
      <c r="V71" s="19"/>
      <c r="W71" s="19"/>
      <c r="X71" s="19"/>
      <c r="Y71" s="19"/>
      <c r="AH71" s="5"/>
      <c r="AI71" s="5"/>
      <c r="AJ71" s="5"/>
      <c r="AK71" s="5"/>
      <c r="AL71" s="5"/>
      <c r="AM71" s="5"/>
      <c r="AN71" s="5"/>
      <c r="AO71" s="5"/>
      <c r="AP71" s="5"/>
      <c r="AQ71" s="5"/>
      <c r="AR71" s="5"/>
      <c r="AS71" s="5"/>
      <c r="AV71" s="5"/>
      <c r="AW71" s="5"/>
      <c r="AX71" s="5"/>
      <c r="AY71" s="5"/>
      <c r="AZ71" s="5"/>
      <c r="BA71" s="8"/>
      <c r="BB71" s="5"/>
    </row>
    <row r="72" spans="5:54" x14ac:dyDescent="0.25">
      <c r="Q72" s="19"/>
      <c r="R72" s="19"/>
      <c r="S72" s="19"/>
      <c r="T72" s="19"/>
      <c r="U72" s="19"/>
      <c r="V72" s="19"/>
      <c r="W72" s="19"/>
      <c r="X72" s="19"/>
      <c r="Y72" s="19"/>
      <c r="AH72" s="5"/>
      <c r="AI72" s="5"/>
      <c r="AJ72" s="5"/>
      <c r="AK72" s="5"/>
      <c r="AL72" s="5"/>
      <c r="AM72" s="5"/>
      <c r="AN72" s="5"/>
      <c r="AO72" s="5"/>
      <c r="AP72" s="5"/>
      <c r="AQ72" s="5"/>
      <c r="AR72" s="5"/>
      <c r="AS72" s="5"/>
      <c r="AV72" s="5"/>
      <c r="AW72" s="5"/>
      <c r="AX72" s="5"/>
      <c r="AY72" s="5"/>
      <c r="AZ72" s="5"/>
      <c r="BA72" s="8"/>
      <c r="BB72" s="5"/>
    </row>
    <row r="73" spans="5:54" ht="12.75" customHeight="1" x14ac:dyDescent="0.25">
      <c r="Q73" s="30"/>
      <c r="R73" s="30"/>
      <c r="S73" s="30"/>
      <c r="T73" s="30"/>
      <c r="U73" s="30"/>
      <c r="V73" s="30"/>
      <c r="W73" s="30"/>
      <c r="X73" s="30"/>
      <c r="Y73" s="30"/>
      <c r="AH73" s="5"/>
      <c r="AI73" s="5"/>
      <c r="AJ73" s="5"/>
      <c r="AK73" s="5"/>
      <c r="AL73" s="5"/>
      <c r="AM73" s="5"/>
      <c r="AN73" s="5"/>
      <c r="AO73" s="5"/>
      <c r="AP73" s="5"/>
      <c r="AQ73" s="5"/>
      <c r="AR73" s="5"/>
      <c r="AS73" s="5"/>
      <c r="AV73" s="5"/>
      <c r="AW73" s="5"/>
      <c r="AX73" s="5"/>
      <c r="AY73" s="5"/>
      <c r="AZ73" s="5"/>
      <c r="BA73" s="8"/>
      <c r="BB73" s="5"/>
    </row>
    <row r="74" spans="5:54" ht="17.399999999999999" x14ac:dyDescent="0.25">
      <c r="G74" s="33"/>
      <c r="H74" s="32"/>
      <c r="I74" s="31"/>
      <c r="Q74" s="30"/>
      <c r="R74" s="30"/>
      <c r="S74" s="30"/>
      <c r="T74" s="30"/>
      <c r="U74" s="30"/>
      <c r="V74" s="30"/>
      <c r="W74" s="30"/>
      <c r="X74" s="30"/>
      <c r="Y74" s="30"/>
      <c r="AH74" s="5"/>
      <c r="AI74" s="5"/>
      <c r="AJ74" s="5"/>
      <c r="AK74" s="5"/>
      <c r="AL74" s="5"/>
      <c r="AM74" s="5"/>
      <c r="AN74" s="5"/>
      <c r="AO74" s="5"/>
      <c r="AP74" s="5"/>
      <c r="AQ74" s="5"/>
      <c r="AR74" s="5"/>
      <c r="AS74" s="5"/>
      <c r="AV74" s="5"/>
      <c r="AW74" s="5"/>
      <c r="AX74" s="5"/>
      <c r="AY74" s="5"/>
      <c r="AZ74" s="5"/>
      <c r="BA74" s="8"/>
      <c r="BB74" s="5"/>
    </row>
    <row r="75" spans="5:54" ht="12.75" customHeight="1" x14ac:dyDescent="0.25">
      <c r="F75" s="29"/>
      <c r="K75" s="427" t="s">
        <v>65</v>
      </c>
      <c r="L75" s="427"/>
      <c r="M75" s="427"/>
      <c r="N75" s="427"/>
      <c r="O75" s="427"/>
      <c r="Q75" s="19"/>
      <c r="R75" s="19"/>
      <c r="S75" s="19"/>
      <c r="T75" s="19"/>
      <c r="U75" s="19"/>
      <c r="V75" s="19"/>
      <c r="W75" s="19"/>
      <c r="X75" s="19"/>
      <c r="Y75" s="19"/>
      <c r="AH75" s="5"/>
      <c r="AI75" s="5"/>
      <c r="AJ75" s="5"/>
      <c r="AK75" s="5"/>
      <c r="AL75" s="5"/>
      <c r="AM75" s="5"/>
      <c r="AN75" s="5"/>
      <c r="AO75" s="5"/>
      <c r="AP75" s="5"/>
      <c r="AQ75" s="5"/>
      <c r="AR75" s="5"/>
      <c r="AS75" s="5"/>
      <c r="AV75" s="5"/>
      <c r="AW75" s="5"/>
      <c r="AX75" s="5"/>
      <c r="AY75" s="5"/>
      <c r="AZ75" s="5"/>
      <c r="BA75" s="8"/>
      <c r="BB75" s="5"/>
    </row>
    <row r="76" spans="5:54" ht="12.75" customHeight="1" x14ac:dyDescent="0.25">
      <c r="E76" s="12"/>
      <c r="F76" s="27"/>
      <c r="L76" s="450"/>
      <c r="M76" s="450"/>
      <c r="N76" s="450"/>
      <c r="Q76" s="18"/>
      <c r="R76" s="18"/>
      <c r="S76" s="18"/>
      <c r="T76" s="18"/>
      <c r="U76" s="18"/>
      <c r="V76" s="18"/>
      <c r="W76" s="18"/>
      <c r="X76" s="18"/>
      <c r="Y76" s="18"/>
      <c r="AH76" s="5"/>
      <c r="AI76" s="5"/>
      <c r="AJ76" s="5"/>
      <c r="AK76" s="5"/>
      <c r="AL76" s="5"/>
      <c r="AM76" s="5"/>
      <c r="AN76" s="5"/>
      <c r="AO76" s="5"/>
      <c r="AP76" s="5"/>
      <c r="AQ76" s="5"/>
      <c r="AR76" s="5"/>
      <c r="AS76" s="5"/>
      <c r="AV76" s="5"/>
      <c r="AW76" s="5"/>
      <c r="AX76" s="5"/>
      <c r="AY76" s="5"/>
      <c r="AZ76" s="5"/>
      <c r="BA76" s="8"/>
      <c r="BB76" s="5"/>
    </row>
    <row r="77" spans="5:54" x14ac:dyDescent="0.25">
      <c r="E77" s="24"/>
      <c r="F77" s="27"/>
      <c r="P77" s="28"/>
      <c r="Q77" s="18"/>
      <c r="R77" s="18"/>
      <c r="S77" s="18"/>
      <c r="T77" s="18"/>
      <c r="U77" s="18"/>
      <c r="AH77" s="5"/>
      <c r="AI77" s="5"/>
      <c r="AJ77" s="5"/>
      <c r="AK77" s="5"/>
      <c r="AL77" s="5"/>
      <c r="AM77" s="5"/>
      <c r="AN77" s="5"/>
      <c r="AO77" s="5"/>
      <c r="AP77" s="5"/>
      <c r="AQ77" s="5"/>
      <c r="AR77" s="5"/>
      <c r="AS77" s="5"/>
      <c r="AV77" s="5"/>
      <c r="AW77" s="5"/>
      <c r="AX77" s="5"/>
      <c r="AY77" s="5"/>
      <c r="AZ77" s="5"/>
      <c r="BA77" s="8"/>
      <c r="BB77" s="5"/>
    </row>
    <row r="78" spans="5:54" ht="12.75" customHeight="1" x14ac:dyDescent="0.25">
      <c r="E78" s="24"/>
      <c r="F78" s="27"/>
      <c r="Q78" s="26"/>
      <c r="R78" s="25"/>
      <c r="S78" s="25"/>
      <c r="T78" s="25"/>
      <c r="U78" s="25"/>
      <c r="AH78" s="5"/>
      <c r="AI78" s="5"/>
      <c r="AJ78" s="5"/>
      <c r="AK78" s="5"/>
      <c r="AL78" s="5"/>
      <c r="AM78" s="5"/>
      <c r="AN78" s="5"/>
      <c r="AO78" s="5"/>
      <c r="AP78" s="5"/>
      <c r="AQ78" s="5"/>
      <c r="AR78" s="5"/>
      <c r="AS78" s="5"/>
      <c r="AV78" s="5"/>
      <c r="AW78" s="5"/>
      <c r="AX78" s="5"/>
      <c r="AY78" s="5"/>
      <c r="AZ78" s="5"/>
      <c r="BA78" s="8"/>
      <c r="BB78" s="5"/>
    </row>
    <row r="79" spans="5:54" ht="12.75" customHeight="1" x14ac:dyDescent="0.25">
      <c r="E79" s="24"/>
      <c r="F79" s="27"/>
      <c r="Q79" s="26"/>
      <c r="R79" s="26"/>
      <c r="S79" s="26"/>
      <c r="T79" s="26"/>
      <c r="U79" s="25"/>
      <c r="AH79" s="5"/>
      <c r="AI79" s="5"/>
      <c r="AJ79" s="5"/>
      <c r="AK79" s="5"/>
      <c r="AL79" s="5"/>
      <c r="AM79" s="5"/>
      <c r="AN79" s="5"/>
      <c r="AO79" s="5"/>
      <c r="AP79" s="5"/>
      <c r="AQ79" s="5"/>
      <c r="AR79" s="5"/>
      <c r="AS79" s="5"/>
      <c r="AV79" s="5"/>
      <c r="AW79" s="5"/>
      <c r="AX79" s="5"/>
      <c r="AY79" s="5"/>
      <c r="AZ79" s="5"/>
      <c r="BA79" s="8"/>
      <c r="BB79" s="5"/>
    </row>
    <row r="80" spans="5:54" ht="12.75" customHeight="1" x14ac:dyDescent="0.25">
      <c r="E80" s="24"/>
      <c r="H80" s="24"/>
      <c r="Q80" s="19"/>
      <c r="R80" s="19"/>
      <c r="S80" s="19"/>
      <c r="T80" s="19"/>
      <c r="U80" s="19"/>
      <c r="V80" s="19"/>
      <c r="W80" s="19"/>
      <c r="X80" s="19"/>
      <c r="Y80" s="19"/>
      <c r="AH80" s="5"/>
      <c r="AI80" s="5"/>
      <c r="AJ80" s="5"/>
      <c r="AK80" s="5"/>
      <c r="AL80" s="5"/>
      <c r="AM80" s="5"/>
      <c r="AN80" s="5"/>
      <c r="AO80" s="5"/>
      <c r="AP80" s="5"/>
      <c r="AQ80" s="5"/>
      <c r="AR80" s="5"/>
      <c r="AS80" s="5"/>
      <c r="AV80" s="5"/>
      <c r="AW80" s="5"/>
      <c r="AX80" s="5"/>
      <c r="AY80" s="5"/>
      <c r="AZ80" s="5"/>
      <c r="BA80" s="8"/>
      <c r="BB80" s="5"/>
    </row>
    <row r="81" spans="8:54" ht="12.75" customHeight="1" x14ac:dyDescent="0.25">
      <c r="H81" s="23"/>
      <c r="Q81" s="19"/>
      <c r="R81" s="19"/>
      <c r="S81" s="19"/>
      <c r="T81" s="19"/>
      <c r="U81" s="19"/>
      <c r="V81" s="19"/>
      <c r="W81" s="19"/>
      <c r="X81" s="19"/>
      <c r="Y81" s="19"/>
      <c r="AH81" s="5"/>
      <c r="AI81" s="5"/>
      <c r="AJ81" s="5"/>
      <c r="AK81" s="5"/>
      <c r="AL81" s="5"/>
      <c r="AM81" s="5"/>
      <c r="AN81" s="5"/>
      <c r="AO81" s="5"/>
      <c r="AP81" s="5"/>
      <c r="AQ81" s="5"/>
      <c r="AR81" s="5"/>
      <c r="AS81" s="5"/>
      <c r="AV81" s="5"/>
      <c r="AW81" s="5"/>
      <c r="AX81" s="5"/>
      <c r="AY81" s="5"/>
      <c r="AZ81" s="5"/>
      <c r="BA81" s="8"/>
      <c r="BB81" s="5"/>
    </row>
    <row r="82" spans="8:54" ht="12.75" customHeight="1" x14ac:dyDescent="0.25">
      <c r="H82" s="12"/>
      <c r="I82" s="16"/>
      <c r="J82" s="16"/>
      <c r="P82" s="16"/>
      <c r="Q82" s="19"/>
      <c r="R82" s="19"/>
      <c r="S82" s="19"/>
      <c r="T82" s="19"/>
      <c r="U82" s="19"/>
      <c r="V82" s="19"/>
      <c r="W82" s="19"/>
      <c r="X82" s="19"/>
      <c r="Y82" s="19"/>
      <c r="AH82" s="5"/>
      <c r="AI82" s="5"/>
      <c r="AJ82" s="5"/>
      <c r="AK82" s="5"/>
      <c r="AL82" s="5"/>
      <c r="AM82" s="5"/>
      <c r="AN82" s="5"/>
      <c r="AO82" s="5"/>
      <c r="AP82" s="5"/>
      <c r="AQ82" s="5"/>
      <c r="AR82" s="5"/>
      <c r="AS82" s="5"/>
      <c r="AV82" s="5"/>
      <c r="AW82" s="5"/>
      <c r="AX82" s="5"/>
      <c r="AY82" s="5"/>
      <c r="AZ82" s="5"/>
      <c r="BA82" s="8"/>
      <c r="BB82" s="5"/>
    </row>
    <row r="83" spans="8:54" x14ac:dyDescent="0.25">
      <c r="H83" s="12"/>
      <c r="I83" s="16"/>
      <c r="J83" s="16"/>
      <c r="K83" s="427" t="s">
        <v>64</v>
      </c>
      <c r="L83" s="427"/>
      <c r="M83" s="427"/>
      <c r="N83" s="427"/>
      <c r="O83" s="427"/>
      <c r="P83" s="16"/>
      <c r="Q83" s="22"/>
      <c r="R83" s="22"/>
      <c r="S83" s="22"/>
      <c r="T83" s="22"/>
      <c r="U83" s="22"/>
      <c r="V83" s="22"/>
      <c r="W83" s="22"/>
      <c r="X83" s="22"/>
      <c r="Y83" s="22"/>
      <c r="AH83" s="5"/>
      <c r="AI83" s="5"/>
      <c r="AJ83" s="5"/>
      <c r="AK83" s="5"/>
      <c r="AL83" s="5"/>
      <c r="AM83" s="5"/>
      <c r="AN83" s="5"/>
      <c r="AO83" s="5"/>
      <c r="AP83" s="5"/>
      <c r="AQ83" s="5"/>
      <c r="AR83" s="5"/>
      <c r="AS83" s="5"/>
      <c r="AV83" s="5"/>
      <c r="AW83" s="5"/>
      <c r="AX83" s="5"/>
      <c r="AY83" s="5"/>
      <c r="AZ83" s="5"/>
      <c r="BA83" s="8"/>
      <c r="BB83" s="5"/>
    </row>
    <row r="84" spans="8:54" x14ac:dyDescent="0.25">
      <c r="H84" s="13"/>
      <c r="I84" s="16"/>
      <c r="J84" s="16"/>
      <c r="L84" s="450"/>
      <c r="M84" s="450"/>
      <c r="N84" s="450"/>
      <c r="P84" s="16"/>
      <c r="Q84" s="19"/>
      <c r="R84" s="19"/>
      <c r="S84" s="19"/>
      <c r="T84" s="19"/>
      <c r="U84" s="19"/>
      <c r="V84" s="19"/>
      <c r="AH84" s="5"/>
      <c r="AI84" s="5"/>
      <c r="AJ84" s="5"/>
      <c r="AK84" s="5"/>
      <c r="AL84" s="5"/>
      <c r="AM84" s="5"/>
      <c r="AN84" s="5"/>
      <c r="AO84" s="5"/>
      <c r="AP84" s="5"/>
      <c r="AQ84" s="5"/>
      <c r="AR84" s="5"/>
      <c r="AS84" s="5"/>
      <c r="AV84" s="5"/>
      <c r="AW84" s="5"/>
      <c r="AX84" s="5"/>
      <c r="AY84" s="5"/>
      <c r="AZ84" s="5"/>
      <c r="BA84" s="8"/>
      <c r="BB84" s="5"/>
    </row>
    <row r="85" spans="8:54" ht="12.75" customHeight="1" x14ac:dyDescent="0.25">
      <c r="H85" s="13"/>
      <c r="I85" s="16"/>
      <c r="J85" s="16"/>
      <c r="P85" s="16"/>
      <c r="Q85" s="21"/>
      <c r="R85" s="21"/>
      <c r="S85" s="21"/>
      <c r="T85" s="21"/>
      <c r="U85" s="21"/>
      <c r="V85" s="21"/>
      <c r="AH85" s="5"/>
      <c r="AI85" s="5"/>
      <c r="AJ85" s="5"/>
      <c r="AK85" s="5"/>
      <c r="AL85" s="5"/>
      <c r="AM85" s="5"/>
      <c r="AN85" s="5"/>
      <c r="AO85" s="5"/>
      <c r="AP85" s="5"/>
      <c r="AQ85" s="5"/>
      <c r="AR85" s="5"/>
      <c r="AS85" s="5"/>
      <c r="AV85" s="5"/>
      <c r="AW85" s="5"/>
      <c r="AX85" s="5"/>
      <c r="AY85" s="5"/>
      <c r="AZ85" s="5"/>
      <c r="BA85" s="8"/>
      <c r="BB85" s="5"/>
    </row>
    <row r="86" spans="8:54" x14ac:dyDescent="0.25">
      <c r="H86" s="13"/>
      <c r="I86" s="16"/>
      <c r="J86" s="16"/>
      <c r="P86" s="16"/>
      <c r="Q86" s="20"/>
      <c r="R86" s="20"/>
      <c r="S86" s="20"/>
      <c r="T86" s="20"/>
      <c r="U86" s="20"/>
      <c r="V86" s="20"/>
      <c r="AH86" s="5"/>
      <c r="AI86" s="5"/>
      <c r="AJ86" s="5"/>
      <c r="AK86" s="5"/>
      <c r="AL86" s="5"/>
      <c r="AM86" s="5"/>
      <c r="AN86" s="5"/>
      <c r="AO86" s="5"/>
      <c r="AP86" s="5"/>
      <c r="AQ86" s="5"/>
      <c r="AR86" s="5"/>
      <c r="AS86" s="5"/>
      <c r="AV86" s="5"/>
      <c r="AW86" s="5"/>
      <c r="AX86" s="5"/>
      <c r="AY86" s="5"/>
      <c r="AZ86" s="5"/>
      <c r="BA86" s="8"/>
      <c r="BB86" s="5"/>
    </row>
    <row r="87" spans="8:54" ht="12.75" customHeight="1" x14ac:dyDescent="0.25">
      <c r="H87" s="11"/>
      <c r="I87" s="16"/>
      <c r="J87" s="16"/>
      <c r="K87" s="16"/>
      <c r="L87" s="16"/>
      <c r="M87" s="16"/>
      <c r="N87" s="16"/>
      <c r="O87" s="16"/>
      <c r="P87" s="16"/>
      <c r="Q87" s="19"/>
      <c r="R87" s="19"/>
      <c r="S87" s="19"/>
      <c r="T87" s="19"/>
      <c r="U87" s="19"/>
      <c r="AH87" s="5"/>
      <c r="AI87" s="5"/>
      <c r="AJ87" s="5"/>
      <c r="AK87" s="5"/>
      <c r="AL87" s="5"/>
      <c r="AM87" s="5"/>
      <c r="AN87" s="5"/>
      <c r="AO87" s="5"/>
      <c r="AP87" s="5"/>
      <c r="AQ87" s="5"/>
      <c r="AR87" s="5"/>
      <c r="AS87" s="5"/>
      <c r="AV87" s="5"/>
      <c r="AW87" s="5"/>
      <c r="AX87" s="5"/>
      <c r="AY87" s="5"/>
      <c r="AZ87" s="5"/>
      <c r="BA87" s="8"/>
      <c r="BB87" s="5"/>
    </row>
    <row r="88" spans="8:54" ht="12.75" customHeight="1" x14ac:dyDescent="0.25">
      <c r="H88" s="11"/>
      <c r="K88" s="16"/>
      <c r="L88" s="16"/>
      <c r="M88" s="16"/>
      <c r="N88" s="16"/>
      <c r="O88" s="16"/>
      <c r="Q88" s="18"/>
      <c r="R88" s="18"/>
      <c r="S88" s="18"/>
      <c r="T88" s="18"/>
      <c r="U88" s="18"/>
      <c r="V88" s="18"/>
      <c r="W88" s="18"/>
      <c r="X88" s="18"/>
      <c r="Y88" s="18"/>
      <c r="AH88" s="5"/>
      <c r="AI88" s="5"/>
      <c r="AJ88" s="5"/>
      <c r="AK88" s="5"/>
      <c r="AL88" s="5"/>
      <c r="AM88" s="5"/>
      <c r="AN88" s="5"/>
      <c r="AO88" s="5"/>
      <c r="AP88" s="5"/>
      <c r="AQ88" s="5"/>
      <c r="AR88" s="5"/>
      <c r="AS88" s="5"/>
      <c r="AV88" s="5"/>
      <c r="AW88" s="5"/>
      <c r="AX88" s="5"/>
      <c r="AY88" s="5"/>
      <c r="AZ88" s="5"/>
      <c r="BA88" s="8"/>
      <c r="BB88" s="5"/>
    </row>
    <row r="89" spans="8:54" ht="12.75" customHeight="1" x14ac:dyDescent="0.25">
      <c r="H89" s="11"/>
      <c r="K89" s="16"/>
      <c r="L89" s="16"/>
      <c r="M89" s="16"/>
      <c r="N89" s="16"/>
      <c r="O89" s="16"/>
      <c r="Q89" s="17"/>
      <c r="R89" s="14"/>
      <c r="S89" s="14"/>
      <c r="T89" s="14"/>
      <c r="U89" s="14"/>
      <c r="V89" s="14"/>
      <c r="W89" s="14"/>
      <c r="X89" s="14"/>
      <c r="Y89" s="14"/>
      <c r="AH89" s="5"/>
      <c r="AI89" s="5"/>
      <c r="AJ89" s="5"/>
      <c r="AK89" s="5"/>
      <c r="AL89" s="5"/>
      <c r="AM89" s="5"/>
      <c r="AN89" s="5"/>
      <c r="AO89" s="5"/>
      <c r="AP89" s="5"/>
      <c r="AQ89" s="5"/>
      <c r="AR89" s="5"/>
      <c r="AS89" s="5"/>
      <c r="AV89" s="5"/>
      <c r="AW89" s="5"/>
      <c r="AX89" s="5"/>
      <c r="AY89" s="5"/>
      <c r="AZ89" s="5"/>
      <c r="BA89" s="8"/>
      <c r="BB89" s="5"/>
    </row>
    <row r="90" spans="8:54" ht="12.75" customHeight="1" x14ac:dyDescent="0.25">
      <c r="H90" s="11"/>
      <c r="K90" s="16"/>
      <c r="L90" s="16"/>
      <c r="M90" s="16"/>
      <c r="N90" s="16"/>
      <c r="O90" s="16"/>
      <c r="Q90" s="14"/>
      <c r="R90" s="14"/>
      <c r="S90" s="14"/>
      <c r="T90" s="14"/>
      <c r="U90" s="14"/>
      <c r="V90" s="14"/>
      <c r="W90" s="14"/>
      <c r="X90" s="14"/>
      <c r="Y90" s="14"/>
      <c r="AH90" s="5"/>
      <c r="AI90" s="5"/>
      <c r="AJ90" s="5"/>
      <c r="AK90" s="5"/>
      <c r="AL90" s="5"/>
      <c r="AM90" s="5"/>
      <c r="AN90" s="5"/>
      <c r="AO90" s="5"/>
      <c r="AP90" s="5"/>
      <c r="AQ90" s="5"/>
      <c r="AR90" s="5"/>
      <c r="AS90" s="5"/>
      <c r="AV90" s="5"/>
      <c r="AW90" s="5"/>
      <c r="AX90" s="5"/>
      <c r="AY90" s="5"/>
      <c r="AZ90" s="5"/>
      <c r="BA90" s="8"/>
      <c r="BB90" s="5"/>
    </row>
    <row r="91" spans="8:54" x14ac:dyDescent="0.25">
      <c r="H91" s="12"/>
      <c r="K91" s="16"/>
      <c r="L91" s="16"/>
      <c r="M91" s="16"/>
      <c r="N91" s="16"/>
      <c r="O91" s="16"/>
      <c r="Q91" s="14"/>
      <c r="R91" s="14"/>
      <c r="S91" s="14"/>
      <c r="T91" s="14"/>
      <c r="U91" s="14"/>
      <c r="V91" s="14"/>
      <c r="W91" s="14"/>
      <c r="X91" s="14"/>
      <c r="Y91" s="14"/>
      <c r="AH91" s="5"/>
      <c r="AI91" s="5"/>
      <c r="AJ91" s="5"/>
      <c r="AK91" s="5"/>
      <c r="AL91" s="5"/>
      <c r="AM91" s="5"/>
      <c r="AN91" s="5"/>
      <c r="AO91" s="5"/>
      <c r="AP91" s="5"/>
      <c r="AQ91" s="5"/>
      <c r="AR91" s="5"/>
      <c r="AS91" s="5"/>
      <c r="AV91" s="5"/>
      <c r="AW91" s="5"/>
      <c r="AX91" s="5"/>
      <c r="AY91" s="5"/>
      <c r="AZ91" s="5"/>
      <c r="BA91" s="8"/>
      <c r="BB91" s="5"/>
    </row>
    <row r="92" spans="8:54" x14ac:dyDescent="0.25">
      <c r="H92" s="11"/>
      <c r="K92" s="16"/>
      <c r="L92" s="16"/>
      <c r="M92" s="16"/>
      <c r="N92" s="16"/>
      <c r="O92" s="16"/>
      <c r="Q92" s="14"/>
      <c r="R92" s="14"/>
      <c r="S92" s="14"/>
      <c r="T92" s="14"/>
      <c r="U92" s="14"/>
      <c r="V92" s="14"/>
      <c r="W92" s="14"/>
      <c r="X92" s="14"/>
      <c r="Y92" s="14"/>
      <c r="AH92" s="5"/>
      <c r="AI92" s="5"/>
      <c r="AJ92" s="5"/>
      <c r="AK92" s="5"/>
      <c r="AL92" s="5"/>
      <c r="AM92" s="5"/>
      <c r="AN92" s="5"/>
      <c r="AO92" s="5"/>
      <c r="AP92" s="5"/>
      <c r="AQ92" s="5"/>
      <c r="AR92" s="5"/>
      <c r="AS92" s="5"/>
      <c r="AV92" s="5"/>
      <c r="AW92" s="5"/>
      <c r="AX92" s="5"/>
      <c r="AY92" s="5"/>
      <c r="AZ92" s="5"/>
      <c r="BA92" s="8"/>
      <c r="BB92" s="5"/>
    </row>
    <row r="93" spans="8:54" x14ac:dyDescent="0.25">
      <c r="H93" s="11"/>
      <c r="K93" s="15"/>
      <c r="L93" s="15"/>
      <c r="Q93" s="14"/>
      <c r="R93" s="14"/>
      <c r="S93" s="14"/>
      <c r="T93" s="14"/>
      <c r="U93" s="14"/>
      <c r="V93" s="14"/>
      <c r="W93" s="14"/>
      <c r="X93" s="14"/>
      <c r="Y93" s="14"/>
      <c r="AH93" s="5"/>
      <c r="AI93" s="5"/>
      <c r="AJ93" s="5"/>
      <c r="AK93" s="5"/>
      <c r="AL93" s="5"/>
      <c r="AM93" s="5"/>
      <c r="AN93" s="5"/>
      <c r="AO93" s="5"/>
      <c r="AP93" s="5"/>
      <c r="AQ93" s="5"/>
      <c r="AR93" s="5"/>
      <c r="AS93" s="5"/>
      <c r="AV93" s="5"/>
      <c r="AW93" s="5"/>
      <c r="AX93" s="5"/>
      <c r="AY93" s="5"/>
      <c r="AZ93" s="5"/>
      <c r="BA93" s="8"/>
      <c r="BB93" s="5"/>
    </row>
    <row r="94" spans="8:54" x14ac:dyDescent="0.25">
      <c r="H94" s="11"/>
      <c r="K94" s="15"/>
      <c r="L94" s="15"/>
      <c r="Q94" s="14"/>
      <c r="R94" s="14"/>
      <c r="S94" s="14"/>
      <c r="T94" s="14"/>
      <c r="U94" s="14"/>
      <c r="V94" s="14"/>
      <c r="W94" s="14"/>
      <c r="X94" s="14"/>
      <c r="Y94" s="14"/>
      <c r="AH94" s="5"/>
      <c r="AI94" s="5"/>
      <c r="AJ94" s="5"/>
      <c r="AK94" s="5"/>
      <c r="AL94" s="5"/>
      <c r="AM94" s="5"/>
      <c r="AN94" s="5"/>
      <c r="AO94" s="5"/>
      <c r="AP94" s="5"/>
      <c r="AQ94" s="5"/>
      <c r="AR94" s="5"/>
      <c r="AS94" s="5"/>
      <c r="AV94" s="5"/>
      <c r="AW94" s="5"/>
      <c r="AX94" s="5"/>
      <c r="AY94" s="5"/>
      <c r="AZ94" s="5"/>
      <c r="BA94" s="8"/>
      <c r="BB94" s="5"/>
    </row>
    <row r="95" spans="8:54" ht="12.75" customHeight="1" x14ac:dyDescent="0.25">
      <c r="H95" s="11"/>
      <c r="K95" s="15"/>
      <c r="L95" s="15"/>
      <c r="Q95" s="14"/>
      <c r="R95" s="14"/>
      <c r="S95" s="14"/>
      <c r="T95" s="14"/>
      <c r="U95" s="14"/>
      <c r="V95" s="14"/>
      <c r="W95" s="14"/>
      <c r="X95" s="14"/>
      <c r="Y95" s="14"/>
      <c r="AH95" s="5"/>
      <c r="AI95" s="5"/>
      <c r="AJ95" s="5"/>
      <c r="AK95" s="5"/>
      <c r="AL95" s="5"/>
      <c r="AM95" s="5"/>
      <c r="AN95" s="5"/>
      <c r="AO95" s="5"/>
      <c r="AP95" s="5"/>
      <c r="AQ95" s="5"/>
      <c r="AR95" s="5"/>
      <c r="AS95" s="5"/>
      <c r="AV95" s="5"/>
      <c r="AW95" s="5"/>
      <c r="AX95" s="5"/>
      <c r="AY95" s="5"/>
      <c r="AZ95" s="5"/>
      <c r="BA95" s="8"/>
      <c r="BB95" s="5"/>
    </row>
    <row r="96" spans="8:54" x14ac:dyDescent="0.25">
      <c r="H96" s="11"/>
      <c r="K96" s="15"/>
      <c r="L96" s="15"/>
      <c r="M96" s="15"/>
      <c r="Q96" s="14"/>
      <c r="R96" s="14"/>
      <c r="S96" s="14"/>
      <c r="T96" s="14"/>
      <c r="U96" s="14"/>
      <c r="V96" s="14"/>
      <c r="W96" s="14"/>
      <c r="X96" s="14"/>
      <c r="Y96" s="14"/>
      <c r="AH96" s="5"/>
      <c r="AI96" s="5"/>
      <c r="AJ96" s="5"/>
      <c r="AK96" s="5"/>
      <c r="AL96" s="5"/>
      <c r="AM96" s="5"/>
      <c r="AN96" s="5"/>
      <c r="AO96" s="5"/>
      <c r="AP96" s="5"/>
      <c r="AQ96" s="5"/>
      <c r="AR96" s="5"/>
      <c r="AS96" s="5"/>
      <c r="AV96" s="5"/>
      <c r="AW96" s="5"/>
      <c r="AX96" s="5"/>
      <c r="AY96" s="5"/>
      <c r="AZ96" s="5"/>
      <c r="BA96" s="8"/>
      <c r="BB96" s="5"/>
    </row>
    <row r="97" spans="8:54" x14ac:dyDescent="0.25">
      <c r="H97" s="11"/>
      <c r="L97" s="15"/>
      <c r="M97" s="15"/>
      <c r="Q97" s="14"/>
      <c r="R97" s="14"/>
      <c r="S97" s="14"/>
      <c r="T97" s="14"/>
      <c r="U97" s="14"/>
      <c r="V97" s="14"/>
      <c r="W97" s="14"/>
      <c r="X97" s="14"/>
      <c r="Y97" s="14"/>
      <c r="AH97" s="5"/>
      <c r="AI97" s="5"/>
      <c r="AJ97" s="5"/>
      <c r="AK97" s="5"/>
      <c r="AL97" s="5"/>
      <c r="AM97" s="5"/>
      <c r="AN97" s="5"/>
      <c r="AO97" s="5"/>
      <c r="AP97" s="5"/>
      <c r="AQ97" s="5"/>
      <c r="AR97" s="5"/>
      <c r="AS97" s="5"/>
      <c r="AV97" s="5"/>
      <c r="AW97" s="5"/>
      <c r="AX97" s="5"/>
      <c r="AY97" s="5"/>
      <c r="AZ97" s="5"/>
      <c r="BA97" s="8"/>
      <c r="BB97" s="5"/>
    </row>
    <row r="98" spans="8:54" x14ac:dyDescent="0.25">
      <c r="H98" s="11"/>
      <c r="AH98" s="5"/>
      <c r="AI98" s="5"/>
      <c r="AJ98" s="5"/>
      <c r="AK98" s="5"/>
      <c r="AL98" s="5"/>
      <c r="AM98" s="5"/>
      <c r="AN98" s="5"/>
      <c r="AO98" s="5"/>
      <c r="AP98" s="5"/>
      <c r="AQ98" s="5"/>
      <c r="AR98" s="5"/>
      <c r="AS98" s="5"/>
      <c r="AV98" s="5"/>
      <c r="AW98" s="5"/>
      <c r="AX98" s="5"/>
      <c r="AY98" s="5"/>
      <c r="AZ98" s="5"/>
      <c r="BA98" s="8"/>
      <c r="BB98" s="5"/>
    </row>
    <row r="99" spans="8:54" x14ac:dyDescent="0.25">
      <c r="H99" s="12"/>
      <c r="AH99" s="5"/>
      <c r="AI99" s="5"/>
      <c r="AJ99" s="5"/>
      <c r="AK99" s="5"/>
      <c r="AL99" s="5"/>
      <c r="AM99" s="5"/>
      <c r="AN99" s="5"/>
      <c r="AO99" s="5"/>
      <c r="AP99" s="5"/>
      <c r="AQ99" s="5"/>
      <c r="AR99" s="5"/>
      <c r="AS99" s="5"/>
      <c r="AV99" s="5"/>
      <c r="AW99" s="5"/>
      <c r="AX99" s="5"/>
      <c r="AY99" s="5"/>
      <c r="AZ99" s="5"/>
      <c r="BA99" s="8"/>
      <c r="BB99" s="5"/>
    </row>
    <row r="100" spans="8:54" x14ac:dyDescent="0.25">
      <c r="H100" s="12"/>
      <c r="AH100" s="5"/>
      <c r="AI100" s="5"/>
      <c r="AJ100" s="5"/>
      <c r="AK100" s="5"/>
      <c r="AL100" s="5"/>
      <c r="AM100" s="5"/>
      <c r="AN100" s="5"/>
      <c r="AO100" s="5"/>
      <c r="AP100" s="5"/>
      <c r="AQ100" s="5"/>
      <c r="AR100" s="5"/>
      <c r="AS100" s="5"/>
      <c r="AV100" s="5"/>
      <c r="AW100" s="5"/>
      <c r="AX100" s="5"/>
      <c r="AY100" s="5"/>
      <c r="AZ100" s="5"/>
      <c r="BA100" s="8"/>
      <c r="BB100" s="5"/>
    </row>
    <row r="101" spans="8:54" x14ac:dyDescent="0.25">
      <c r="H101" s="13"/>
      <c r="AH101" s="5"/>
      <c r="AI101" s="5"/>
      <c r="AJ101" s="5"/>
      <c r="AK101" s="5"/>
      <c r="AL101" s="5"/>
      <c r="AM101" s="5"/>
      <c r="AN101" s="5"/>
      <c r="AO101" s="5"/>
      <c r="AP101" s="5"/>
      <c r="AQ101" s="5"/>
      <c r="AR101" s="5"/>
      <c r="AS101" s="5"/>
      <c r="AV101" s="5"/>
      <c r="AW101" s="5"/>
      <c r="AX101" s="5"/>
      <c r="AY101" s="5"/>
      <c r="AZ101" s="5"/>
      <c r="BA101" s="8"/>
      <c r="BB101" s="5"/>
    </row>
    <row r="102" spans="8:54" x14ac:dyDescent="0.25">
      <c r="H102" s="13"/>
      <c r="AH102" s="5"/>
      <c r="AI102" s="5"/>
      <c r="AJ102" s="5"/>
      <c r="AK102" s="5"/>
      <c r="AL102" s="5"/>
      <c r="AM102" s="5"/>
      <c r="AN102" s="5"/>
      <c r="AO102" s="5"/>
      <c r="AP102" s="5"/>
      <c r="AQ102" s="5"/>
      <c r="AR102" s="5"/>
      <c r="AS102" s="5"/>
      <c r="AV102" s="5"/>
      <c r="AW102" s="5"/>
      <c r="AX102" s="5"/>
      <c r="AY102" s="5"/>
      <c r="AZ102" s="5"/>
      <c r="BA102" s="8"/>
      <c r="BB102" s="5"/>
    </row>
    <row r="103" spans="8:54" x14ac:dyDescent="0.25">
      <c r="H103" s="13"/>
      <c r="AH103" s="5"/>
      <c r="AI103" s="5"/>
      <c r="AJ103" s="5"/>
      <c r="AK103" s="5"/>
      <c r="AL103" s="5"/>
      <c r="AM103" s="5"/>
      <c r="AN103" s="5"/>
      <c r="AO103" s="5"/>
      <c r="AP103" s="5"/>
      <c r="AQ103" s="5"/>
      <c r="AR103" s="5"/>
      <c r="AS103" s="5"/>
      <c r="AV103" s="5"/>
      <c r="AW103" s="5"/>
      <c r="AX103" s="5"/>
      <c r="AY103" s="5"/>
      <c r="AZ103" s="5"/>
      <c r="BA103" s="8"/>
      <c r="BB103" s="5"/>
    </row>
    <row r="104" spans="8:54" x14ac:dyDescent="0.25">
      <c r="H104" s="11"/>
      <c r="AH104" s="5"/>
      <c r="AI104" s="5"/>
      <c r="AJ104" s="5"/>
      <c r="AK104" s="5"/>
      <c r="AL104" s="5"/>
      <c r="AM104" s="5"/>
      <c r="AN104" s="5"/>
      <c r="AO104" s="5"/>
      <c r="AP104" s="5"/>
      <c r="AQ104" s="5"/>
      <c r="AR104" s="5"/>
      <c r="AS104" s="5"/>
      <c r="AV104" s="5"/>
      <c r="AW104" s="5"/>
      <c r="AX104" s="5"/>
      <c r="AY104" s="5"/>
      <c r="AZ104" s="5"/>
      <c r="BA104" s="8"/>
      <c r="BB104" s="5"/>
    </row>
    <row r="105" spans="8:54" x14ac:dyDescent="0.25">
      <c r="H105" s="11"/>
      <c r="AH105" s="5"/>
      <c r="AI105" s="5"/>
      <c r="AJ105" s="5"/>
      <c r="AK105" s="5"/>
      <c r="AL105" s="5"/>
      <c r="AM105" s="5"/>
      <c r="AN105" s="5"/>
      <c r="AO105" s="5"/>
      <c r="AP105" s="5"/>
      <c r="AQ105" s="5"/>
      <c r="AR105" s="5"/>
      <c r="AS105" s="5"/>
      <c r="AV105" s="5"/>
      <c r="AW105" s="5"/>
      <c r="AX105" s="5"/>
      <c r="AY105" s="5"/>
      <c r="AZ105" s="5"/>
      <c r="BA105" s="8"/>
      <c r="BB105" s="5"/>
    </row>
    <row r="106" spans="8:54" x14ac:dyDescent="0.25">
      <c r="H106" s="11"/>
      <c r="AH106" s="5"/>
      <c r="AI106" s="5"/>
      <c r="AJ106" s="5"/>
      <c r="AK106" s="5"/>
      <c r="AL106" s="5"/>
      <c r="AM106" s="5"/>
      <c r="AN106" s="5"/>
      <c r="AO106" s="5"/>
      <c r="AP106" s="5"/>
      <c r="AQ106" s="5"/>
      <c r="AR106" s="5"/>
      <c r="AS106" s="5"/>
      <c r="AV106" s="5"/>
      <c r="AW106" s="5"/>
      <c r="AX106" s="5"/>
      <c r="AY106" s="5"/>
      <c r="AZ106" s="5"/>
      <c r="BA106" s="8"/>
      <c r="BB106" s="5"/>
    </row>
    <row r="107" spans="8:54" x14ac:dyDescent="0.25">
      <c r="H107" s="11"/>
      <c r="AH107" s="5"/>
      <c r="AI107" s="5"/>
      <c r="AJ107" s="5"/>
      <c r="AK107" s="5"/>
      <c r="AL107" s="5"/>
      <c r="AM107" s="5"/>
      <c r="AN107" s="5"/>
      <c r="AO107" s="5"/>
      <c r="AP107" s="5"/>
      <c r="AQ107" s="5"/>
      <c r="AR107" s="5"/>
      <c r="AS107" s="5"/>
      <c r="AV107" s="5"/>
      <c r="AW107" s="5"/>
      <c r="AX107" s="5"/>
      <c r="AY107" s="5"/>
      <c r="AZ107" s="5"/>
      <c r="BA107" s="8"/>
      <c r="BB107" s="5"/>
    </row>
    <row r="108" spans="8:54" x14ac:dyDescent="0.25">
      <c r="H108" s="12"/>
      <c r="AH108" s="5"/>
      <c r="AI108" s="5"/>
      <c r="AJ108" s="5"/>
      <c r="AK108" s="5"/>
      <c r="AL108" s="5"/>
      <c r="AM108" s="5"/>
      <c r="AN108" s="5"/>
      <c r="AO108" s="5"/>
      <c r="AP108" s="5"/>
      <c r="AQ108" s="5"/>
      <c r="AR108" s="5"/>
      <c r="AS108" s="5"/>
      <c r="AV108" s="5"/>
      <c r="AW108" s="5"/>
      <c r="AX108" s="5"/>
      <c r="AY108" s="5"/>
      <c r="AZ108" s="5"/>
      <c r="BA108" s="8"/>
      <c r="BB108" s="5"/>
    </row>
    <row r="109" spans="8:54" x14ac:dyDescent="0.25">
      <c r="H109" s="11"/>
      <c r="AH109" s="5"/>
      <c r="AI109" s="5"/>
      <c r="AJ109" s="5"/>
      <c r="AK109" s="5"/>
      <c r="AL109" s="5"/>
      <c r="AM109" s="5"/>
      <c r="AN109" s="5"/>
      <c r="AO109" s="5"/>
      <c r="AP109" s="5"/>
      <c r="AQ109" s="5"/>
      <c r="AR109" s="5"/>
      <c r="AS109" s="5"/>
      <c r="AV109" s="5"/>
      <c r="AW109" s="5"/>
      <c r="AX109" s="5"/>
      <c r="AY109" s="5"/>
      <c r="AZ109" s="5"/>
      <c r="BA109" s="8"/>
      <c r="BB109" s="5"/>
    </row>
    <row r="110" spans="8:54" x14ac:dyDescent="0.25">
      <c r="H110" s="11"/>
      <c r="AH110" s="5"/>
      <c r="AI110" s="5"/>
      <c r="AJ110" s="5"/>
      <c r="AK110" s="5"/>
      <c r="AL110" s="5"/>
      <c r="AM110" s="5"/>
      <c r="AN110" s="5"/>
      <c r="AO110" s="5"/>
      <c r="AP110" s="5"/>
      <c r="AQ110" s="5"/>
      <c r="AR110" s="5"/>
      <c r="AS110" s="5"/>
      <c r="AV110" s="5"/>
      <c r="AW110" s="5"/>
      <c r="AX110" s="5"/>
      <c r="AY110" s="5"/>
      <c r="AZ110" s="5"/>
      <c r="BA110" s="8"/>
      <c r="BB110" s="5"/>
    </row>
    <row r="111" spans="8:54" x14ac:dyDescent="0.25">
      <c r="H111" s="11"/>
      <c r="AH111" s="5"/>
      <c r="AI111" s="5"/>
      <c r="AJ111" s="5"/>
      <c r="AK111" s="5"/>
      <c r="AL111" s="5"/>
      <c r="AM111" s="5"/>
      <c r="AN111" s="5"/>
      <c r="AO111" s="5"/>
      <c r="AP111" s="5"/>
      <c r="AQ111" s="5"/>
      <c r="AR111" s="5"/>
      <c r="AS111" s="5"/>
      <c r="AV111" s="5"/>
      <c r="AW111" s="5"/>
      <c r="AX111" s="5"/>
      <c r="AY111" s="5"/>
      <c r="AZ111" s="5"/>
      <c r="BA111" s="8"/>
      <c r="BB111" s="5"/>
    </row>
    <row r="112" spans="8:54" x14ac:dyDescent="0.25">
      <c r="H112" s="10"/>
      <c r="AH112" s="5"/>
      <c r="AI112" s="5"/>
      <c r="AJ112" s="5"/>
      <c r="AK112" s="5"/>
      <c r="AL112" s="5"/>
      <c r="AM112" s="5"/>
      <c r="AN112" s="5"/>
      <c r="AO112" s="5"/>
      <c r="AP112" s="5"/>
      <c r="AQ112" s="5"/>
      <c r="AR112" s="5"/>
      <c r="AS112" s="5"/>
      <c r="AV112" s="5"/>
      <c r="AW112" s="5"/>
      <c r="AX112" s="5"/>
      <c r="AY112" s="5"/>
      <c r="AZ112" s="5"/>
      <c r="BA112" s="8"/>
      <c r="BB112" s="5"/>
    </row>
    <row r="113" spans="34:54" x14ac:dyDescent="0.25">
      <c r="AH113" s="5"/>
      <c r="AI113" s="5"/>
      <c r="AJ113" s="5"/>
      <c r="AK113" s="5"/>
      <c r="AL113" s="5"/>
      <c r="AM113" s="5"/>
      <c r="AN113" s="5"/>
      <c r="AO113" s="5"/>
      <c r="AP113" s="5"/>
      <c r="AQ113" s="5"/>
      <c r="AR113" s="5"/>
      <c r="AS113" s="5"/>
      <c r="AV113" s="5"/>
      <c r="AW113" s="5"/>
      <c r="AX113" s="5"/>
      <c r="AY113" s="5"/>
      <c r="AZ113" s="5"/>
      <c r="BA113" s="8"/>
      <c r="BB113" s="5"/>
    </row>
    <row r="114" spans="34:54" x14ac:dyDescent="0.25">
      <c r="AH114" s="5"/>
      <c r="AI114" s="5"/>
      <c r="AJ114" s="5"/>
      <c r="AK114" s="5"/>
      <c r="AL114" s="5"/>
      <c r="AM114" s="5"/>
      <c r="AN114" s="5"/>
      <c r="AO114" s="5"/>
      <c r="AP114" s="5"/>
      <c r="AQ114" s="5"/>
      <c r="AR114" s="5"/>
      <c r="AS114" s="5"/>
      <c r="AV114" s="5"/>
      <c r="AW114" s="5"/>
      <c r="AX114" s="5"/>
      <c r="AY114" s="5"/>
      <c r="AZ114" s="5"/>
      <c r="BA114" s="8"/>
      <c r="BB114" s="5"/>
    </row>
    <row r="115" spans="34:54" x14ac:dyDescent="0.25">
      <c r="AH115" s="5"/>
      <c r="AI115" s="5"/>
      <c r="AJ115" s="5"/>
      <c r="AK115" s="5"/>
      <c r="AL115" s="5"/>
      <c r="AM115" s="5"/>
      <c r="AN115" s="5"/>
      <c r="AO115" s="5"/>
      <c r="AP115" s="5"/>
      <c r="AQ115" s="5"/>
      <c r="AR115" s="5"/>
      <c r="AS115" s="5"/>
      <c r="AV115" s="5"/>
      <c r="AW115" s="5"/>
      <c r="AX115" s="5"/>
      <c r="AY115" s="5"/>
      <c r="AZ115" s="5"/>
      <c r="BA115" s="8"/>
      <c r="BB115" s="5"/>
    </row>
    <row r="116" spans="34:54" x14ac:dyDescent="0.25">
      <c r="AH116" s="5"/>
      <c r="AI116" s="5"/>
      <c r="AJ116" s="5"/>
      <c r="AK116" s="5"/>
      <c r="AL116" s="5"/>
      <c r="AM116" s="5"/>
      <c r="AN116" s="5"/>
      <c r="AO116" s="5"/>
      <c r="AP116" s="5"/>
      <c r="AQ116" s="5"/>
      <c r="AR116" s="5"/>
      <c r="AS116" s="5"/>
      <c r="AV116" s="5"/>
      <c r="AW116" s="5"/>
      <c r="AX116" s="5"/>
      <c r="AY116" s="5"/>
      <c r="AZ116" s="5"/>
      <c r="BA116" s="8"/>
      <c r="BB116" s="5"/>
    </row>
    <row r="117" spans="34:54" x14ac:dyDescent="0.25">
      <c r="AH117" s="5"/>
      <c r="AI117" s="5"/>
      <c r="AJ117" s="5"/>
      <c r="AK117" s="5"/>
      <c r="AL117" s="5"/>
      <c r="AM117" s="5"/>
      <c r="AN117" s="5"/>
      <c r="AO117" s="5"/>
      <c r="AP117" s="5"/>
      <c r="AQ117" s="5"/>
      <c r="AR117" s="5"/>
      <c r="AS117" s="5"/>
      <c r="AV117" s="5"/>
      <c r="AW117" s="5"/>
      <c r="AX117" s="5"/>
      <c r="AY117" s="5"/>
      <c r="AZ117" s="5"/>
      <c r="BA117" s="8"/>
      <c r="BB117" s="5"/>
    </row>
    <row r="118" spans="34:54" x14ac:dyDescent="0.25">
      <c r="AH118" s="5"/>
      <c r="AI118" s="5"/>
      <c r="AJ118" s="5"/>
      <c r="AK118" s="5"/>
      <c r="AL118" s="5"/>
      <c r="AM118" s="5"/>
      <c r="AN118" s="5"/>
      <c r="AO118" s="5"/>
      <c r="AP118" s="5"/>
      <c r="AQ118" s="5"/>
      <c r="AR118" s="5"/>
      <c r="AS118" s="5"/>
      <c r="AV118" s="5"/>
      <c r="AW118" s="5"/>
      <c r="AX118" s="5"/>
      <c r="AY118" s="5"/>
      <c r="AZ118" s="5"/>
      <c r="BA118" s="8"/>
      <c r="BB118" s="5"/>
    </row>
    <row r="119" spans="34:54" x14ac:dyDescent="0.25">
      <c r="AH119" s="5"/>
      <c r="AI119" s="5"/>
      <c r="AJ119" s="5"/>
      <c r="AK119" s="5"/>
      <c r="AL119" s="5"/>
      <c r="AM119" s="5"/>
      <c r="AN119" s="5"/>
      <c r="AO119" s="5"/>
      <c r="AP119" s="5"/>
      <c r="AQ119" s="5"/>
      <c r="AR119" s="5"/>
      <c r="AS119" s="5"/>
      <c r="AV119" s="5"/>
      <c r="AW119" s="5"/>
      <c r="AX119" s="5"/>
      <c r="AY119" s="5"/>
      <c r="AZ119" s="5"/>
      <c r="BA119" s="8"/>
      <c r="BB119" s="5"/>
    </row>
    <row r="120" spans="34:54" x14ac:dyDescent="0.25">
      <c r="AH120" s="5"/>
      <c r="AI120" s="5"/>
      <c r="AJ120" s="5"/>
      <c r="AK120" s="5"/>
      <c r="AL120" s="5"/>
      <c r="AM120" s="5"/>
      <c r="AN120" s="5"/>
      <c r="AO120" s="5"/>
      <c r="AP120" s="5"/>
      <c r="AQ120" s="5"/>
      <c r="AR120" s="5"/>
      <c r="AS120" s="5"/>
      <c r="AV120" s="5"/>
      <c r="AW120" s="5"/>
      <c r="AX120" s="5"/>
      <c r="AY120" s="5"/>
      <c r="AZ120" s="5"/>
      <c r="BA120" s="8"/>
      <c r="BB120" s="5"/>
    </row>
    <row r="121" spans="34:54" x14ac:dyDescent="0.25">
      <c r="AH121" s="5"/>
      <c r="AI121" s="5"/>
      <c r="AJ121" s="5"/>
      <c r="AK121" s="5"/>
      <c r="AL121" s="5"/>
      <c r="AM121" s="5"/>
      <c r="AN121" s="5"/>
      <c r="AO121" s="5"/>
      <c r="AP121" s="5"/>
      <c r="AQ121" s="5"/>
      <c r="AR121" s="5"/>
      <c r="AS121" s="5"/>
      <c r="AV121" s="5"/>
      <c r="AW121" s="5"/>
      <c r="AX121" s="5"/>
      <c r="AY121" s="5"/>
      <c r="AZ121" s="5"/>
      <c r="BA121" s="8"/>
      <c r="BB121" s="5"/>
    </row>
    <row r="122" spans="34:54" x14ac:dyDescent="0.25">
      <c r="AH122" s="5"/>
      <c r="AI122" s="5"/>
      <c r="AJ122" s="5"/>
      <c r="AK122" s="5"/>
      <c r="AL122" s="5"/>
      <c r="AM122" s="5"/>
      <c r="AN122" s="5"/>
      <c r="AO122" s="5"/>
      <c r="AP122" s="5"/>
      <c r="AQ122" s="5"/>
      <c r="AR122" s="5"/>
      <c r="AS122" s="5"/>
      <c r="AV122" s="5"/>
      <c r="AW122" s="5"/>
      <c r="AX122" s="5"/>
      <c r="AY122" s="5"/>
      <c r="AZ122" s="5"/>
      <c r="BA122" s="8"/>
      <c r="BB122" s="5"/>
    </row>
    <row r="123" spans="34:54" x14ac:dyDescent="0.25">
      <c r="AH123" s="5"/>
      <c r="AI123" s="5"/>
      <c r="AJ123" s="5"/>
      <c r="AK123" s="5"/>
      <c r="AL123" s="5"/>
      <c r="AM123" s="5"/>
      <c r="AN123" s="5"/>
      <c r="AO123" s="5"/>
      <c r="AP123" s="5"/>
      <c r="AQ123" s="5"/>
      <c r="AR123" s="5"/>
      <c r="AS123" s="5"/>
      <c r="AV123" s="5"/>
      <c r="AW123" s="5"/>
      <c r="AX123" s="5"/>
      <c r="AY123" s="5"/>
      <c r="AZ123" s="5"/>
      <c r="BA123" s="8"/>
      <c r="BB123" s="5"/>
    </row>
    <row r="124" spans="34:54" x14ac:dyDescent="0.25">
      <c r="AH124" s="5"/>
      <c r="AI124" s="5"/>
      <c r="AJ124" s="5"/>
      <c r="AK124" s="5"/>
      <c r="AL124" s="5"/>
      <c r="AM124" s="5"/>
      <c r="AN124" s="5"/>
      <c r="AO124" s="5"/>
      <c r="AP124" s="5"/>
      <c r="AQ124" s="5"/>
      <c r="AR124" s="5"/>
      <c r="AS124" s="5"/>
      <c r="AV124" s="5"/>
      <c r="AW124" s="5"/>
      <c r="AX124" s="5"/>
      <c r="AY124" s="5"/>
      <c r="AZ124" s="5"/>
      <c r="BA124" s="8"/>
      <c r="BB124" s="5"/>
    </row>
    <row r="125" spans="34:54" x14ac:dyDescent="0.25">
      <c r="AH125" s="5"/>
      <c r="AI125" s="5"/>
      <c r="AJ125" s="5"/>
      <c r="AK125" s="5"/>
      <c r="AL125" s="5"/>
      <c r="AM125" s="5"/>
      <c r="AN125" s="5"/>
      <c r="AO125" s="5"/>
      <c r="AP125" s="5"/>
      <c r="AQ125" s="5"/>
      <c r="AR125" s="5"/>
      <c r="AS125" s="5"/>
      <c r="AV125" s="5"/>
      <c r="AW125" s="5"/>
      <c r="AX125" s="5"/>
      <c r="AY125" s="5"/>
      <c r="AZ125" s="5"/>
      <c r="BA125" s="8"/>
      <c r="BB125" s="5"/>
    </row>
    <row r="126" spans="34:54" x14ac:dyDescent="0.25">
      <c r="AH126" s="5"/>
      <c r="AI126" s="5"/>
      <c r="AJ126" s="5"/>
      <c r="AK126" s="5"/>
      <c r="AL126" s="5"/>
      <c r="AM126" s="5"/>
      <c r="AN126" s="5"/>
      <c r="AO126" s="5"/>
      <c r="AP126" s="5"/>
      <c r="AQ126" s="5"/>
      <c r="AR126" s="5"/>
      <c r="AS126" s="5"/>
      <c r="AV126" s="5"/>
      <c r="AW126" s="5"/>
      <c r="AX126" s="5"/>
      <c r="AY126" s="5"/>
      <c r="AZ126" s="5"/>
      <c r="BA126" s="8"/>
      <c r="BB126" s="5"/>
    </row>
    <row r="127" spans="34:54" x14ac:dyDescent="0.25">
      <c r="AH127" s="5"/>
      <c r="AI127" s="5"/>
      <c r="AJ127" s="5"/>
      <c r="AK127" s="5"/>
      <c r="AL127" s="5"/>
      <c r="AM127" s="5"/>
      <c r="AN127" s="5"/>
      <c r="AO127" s="5"/>
      <c r="AP127" s="5"/>
      <c r="AQ127" s="5"/>
      <c r="AR127" s="5"/>
      <c r="AS127" s="5"/>
      <c r="AV127" s="5"/>
      <c r="AW127" s="5"/>
      <c r="AX127" s="5"/>
      <c r="AY127" s="5"/>
      <c r="AZ127" s="5"/>
      <c r="BA127" s="8"/>
      <c r="BB127" s="5"/>
    </row>
    <row r="128" spans="34:54" x14ac:dyDescent="0.25">
      <c r="AH128" s="5"/>
      <c r="AI128" s="5"/>
      <c r="AJ128" s="5"/>
      <c r="AK128" s="5"/>
      <c r="AL128" s="5"/>
      <c r="AM128" s="5"/>
      <c r="AN128" s="5"/>
      <c r="AO128" s="5"/>
      <c r="AP128" s="5"/>
      <c r="AQ128" s="5"/>
      <c r="AR128" s="5"/>
      <c r="AS128" s="5"/>
      <c r="AV128" s="5"/>
      <c r="AW128" s="5"/>
      <c r="AX128" s="5"/>
      <c r="AY128" s="5"/>
      <c r="AZ128" s="5"/>
      <c r="BA128" s="8"/>
      <c r="BB128" s="5"/>
    </row>
    <row r="129" spans="34:54" x14ac:dyDescent="0.25">
      <c r="AH129" s="5"/>
      <c r="AI129" s="5"/>
      <c r="AJ129" s="5"/>
      <c r="AK129" s="5"/>
      <c r="AL129" s="5"/>
      <c r="AM129" s="5"/>
      <c r="AN129" s="5"/>
      <c r="AO129" s="5"/>
      <c r="AP129" s="5"/>
      <c r="AQ129" s="5"/>
      <c r="AR129" s="5"/>
      <c r="AS129" s="5"/>
      <c r="AV129" s="5"/>
      <c r="AW129" s="5"/>
      <c r="AX129" s="5"/>
      <c r="AY129" s="5"/>
      <c r="AZ129" s="5"/>
      <c r="BA129" s="8"/>
      <c r="BB129" s="5"/>
    </row>
    <row r="130" spans="34:54" x14ac:dyDescent="0.25">
      <c r="AH130" s="5"/>
      <c r="AI130" s="5"/>
      <c r="AJ130" s="5"/>
      <c r="AK130" s="5"/>
      <c r="AL130" s="5"/>
      <c r="AM130" s="5"/>
      <c r="AN130" s="5"/>
      <c r="AO130" s="5"/>
      <c r="AP130" s="5"/>
      <c r="AQ130" s="5"/>
      <c r="AR130" s="5"/>
      <c r="AS130" s="5"/>
      <c r="AV130" s="5"/>
      <c r="AW130" s="5"/>
      <c r="AX130" s="5"/>
      <c r="AY130" s="5"/>
      <c r="AZ130" s="5"/>
      <c r="BA130" s="8"/>
      <c r="BB130" s="5"/>
    </row>
    <row r="131" spans="34:54" x14ac:dyDescent="0.25">
      <c r="AH131" s="5"/>
      <c r="AI131" s="5"/>
      <c r="AJ131" s="5"/>
      <c r="AK131" s="5"/>
      <c r="AL131" s="5"/>
      <c r="AM131" s="5"/>
      <c r="AN131" s="5"/>
      <c r="AO131" s="5"/>
      <c r="AP131" s="5"/>
      <c r="AQ131" s="5"/>
      <c r="AR131" s="5"/>
      <c r="AS131" s="5"/>
      <c r="AV131" s="5"/>
      <c r="AW131" s="5"/>
      <c r="AX131" s="5"/>
      <c r="AY131" s="5"/>
      <c r="AZ131" s="5"/>
      <c r="BA131" s="8"/>
      <c r="BB131" s="5"/>
    </row>
    <row r="132" spans="34:54" x14ac:dyDescent="0.25">
      <c r="AH132" s="5"/>
      <c r="AI132" s="5"/>
      <c r="AJ132" s="5"/>
      <c r="AK132" s="5"/>
      <c r="AL132" s="5"/>
      <c r="AM132" s="5"/>
      <c r="AN132" s="5"/>
      <c r="AO132" s="5"/>
      <c r="AP132" s="5"/>
      <c r="AQ132" s="5"/>
      <c r="AR132" s="5"/>
      <c r="AS132" s="5"/>
      <c r="AV132" s="5"/>
      <c r="AW132" s="5"/>
      <c r="AX132" s="5"/>
      <c r="AY132" s="5"/>
      <c r="AZ132" s="5"/>
      <c r="BA132" s="8"/>
      <c r="BB132" s="5"/>
    </row>
    <row r="133" spans="34:54" x14ac:dyDescent="0.25">
      <c r="AH133" s="5"/>
      <c r="AI133" s="5"/>
      <c r="AJ133" s="5"/>
      <c r="AK133" s="5"/>
      <c r="AL133" s="5"/>
      <c r="AM133" s="5"/>
      <c r="AN133" s="5"/>
      <c r="AO133" s="5"/>
      <c r="AP133" s="5"/>
      <c r="AQ133" s="5"/>
      <c r="AR133" s="5"/>
      <c r="AS133" s="5"/>
      <c r="AV133" s="5"/>
      <c r="AW133" s="5"/>
      <c r="AX133" s="5"/>
      <c r="AY133" s="5"/>
      <c r="AZ133" s="5"/>
      <c r="BA133" s="8"/>
      <c r="BB133" s="5"/>
    </row>
    <row r="134" spans="34:54" x14ac:dyDescent="0.25">
      <c r="AH134" s="5"/>
      <c r="AI134" s="5"/>
      <c r="AJ134" s="5"/>
      <c r="AK134" s="5"/>
      <c r="AL134" s="5"/>
      <c r="AM134" s="5"/>
      <c r="AN134" s="5"/>
      <c r="AO134" s="5"/>
      <c r="AP134" s="5"/>
      <c r="AQ134" s="5"/>
      <c r="AR134" s="5"/>
      <c r="AS134" s="5"/>
      <c r="AV134" s="5"/>
      <c r="AW134" s="5"/>
      <c r="AX134" s="5"/>
      <c r="AY134" s="5"/>
      <c r="AZ134" s="5"/>
      <c r="BA134" s="8"/>
      <c r="BB134" s="5"/>
    </row>
    <row r="135" spans="34:54" x14ac:dyDescent="0.25">
      <c r="AH135" s="5"/>
      <c r="AI135" s="5"/>
      <c r="AJ135" s="5"/>
      <c r="AK135" s="5"/>
      <c r="AL135" s="5"/>
      <c r="AM135" s="5"/>
      <c r="AN135" s="5"/>
      <c r="AO135" s="5"/>
      <c r="AP135" s="5"/>
      <c r="AQ135" s="5"/>
      <c r="AR135" s="5"/>
      <c r="AS135" s="5"/>
      <c r="AV135" s="5"/>
      <c r="AW135" s="5"/>
      <c r="AX135" s="5"/>
      <c r="AY135" s="5"/>
      <c r="AZ135" s="5"/>
      <c r="BA135" s="8"/>
      <c r="BB135" s="5"/>
    </row>
    <row r="136" spans="34:54" x14ac:dyDescent="0.25">
      <c r="AH136" s="5"/>
      <c r="AI136" s="5"/>
      <c r="AJ136" s="5"/>
      <c r="AK136" s="5"/>
      <c r="AL136" s="5"/>
      <c r="AM136" s="5"/>
      <c r="AN136" s="5"/>
      <c r="AO136" s="5"/>
      <c r="AP136" s="5"/>
      <c r="AQ136" s="5"/>
      <c r="AR136" s="5"/>
      <c r="AS136" s="5"/>
      <c r="AV136" s="5"/>
      <c r="AW136" s="5"/>
      <c r="AX136" s="5"/>
      <c r="AY136" s="5"/>
      <c r="AZ136" s="5"/>
      <c r="BA136" s="8"/>
      <c r="BB136" s="5"/>
    </row>
    <row r="137" spans="34:54" x14ac:dyDescent="0.25">
      <c r="AH137" s="5"/>
      <c r="AI137" s="5"/>
      <c r="AJ137" s="5"/>
      <c r="AK137" s="5"/>
      <c r="AL137" s="5"/>
      <c r="AM137" s="5"/>
      <c r="AN137" s="5"/>
      <c r="AO137" s="5"/>
      <c r="AP137" s="5"/>
      <c r="AQ137" s="5"/>
      <c r="AR137" s="5"/>
      <c r="AS137" s="5"/>
      <c r="AV137" s="5"/>
      <c r="AW137" s="5"/>
      <c r="AX137" s="5"/>
      <c r="AY137" s="5"/>
      <c r="AZ137" s="5"/>
      <c r="BA137" s="8"/>
      <c r="BB137" s="5"/>
    </row>
    <row r="138" spans="34:54" x14ac:dyDescent="0.25">
      <c r="AH138" s="5"/>
      <c r="AI138" s="5"/>
      <c r="AJ138" s="5"/>
      <c r="AK138" s="5"/>
      <c r="AL138" s="5"/>
      <c r="AM138" s="5"/>
      <c r="AN138" s="5"/>
      <c r="AO138" s="5"/>
      <c r="AP138" s="5"/>
      <c r="AQ138" s="5"/>
      <c r="AR138" s="5"/>
      <c r="AS138" s="5"/>
      <c r="AV138" s="5"/>
      <c r="AW138" s="5"/>
      <c r="AX138" s="5"/>
      <c r="AY138" s="5"/>
      <c r="AZ138" s="5"/>
      <c r="BA138" s="8"/>
      <c r="BB138" s="5"/>
    </row>
    <row r="139" spans="34:54" x14ac:dyDescent="0.25">
      <c r="AH139" s="5"/>
      <c r="AI139" s="5"/>
      <c r="AJ139" s="5"/>
      <c r="AK139" s="5"/>
      <c r="AL139" s="5"/>
      <c r="AM139" s="5"/>
      <c r="AN139" s="5"/>
      <c r="AO139" s="5"/>
      <c r="AP139" s="5"/>
      <c r="AQ139" s="5"/>
      <c r="AR139" s="5"/>
      <c r="AS139" s="5"/>
      <c r="AV139" s="5"/>
      <c r="AW139" s="5"/>
      <c r="AX139" s="5"/>
      <c r="AY139" s="5"/>
      <c r="AZ139" s="5"/>
      <c r="BA139" s="8"/>
      <c r="BB139" s="5"/>
    </row>
    <row r="140" spans="34:54" x14ac:dyDescent="0.25">
      <c r="AH140" s="5"/>
      <c r="AI140" s="5"/>
      <c r="AJ140" s="5"/>
      <c r="AK140" s="5"/>
      <c r="AL140" s="5"/>
      <c r="AM140" s="5"/>
      <c r="AN140" s="5"/>
      <c r="AO140" s="5"/>
      <c r="AP140" s="5"/>
      <c r="AQ140" s="5"/>
      <c r="AR140" s="5"/>
      <c r="AS140" s="5"/>
      <c r="AV140" s="5"/>
      <c r="AW140" s="5"/>
      <c r="AX140" s="5"/>
      <c r="AY140" s="5"/>
      <c r="AZ140" s="5"/>
      <c r="BA140" s="8"/>
      <c r="BB140" s="5"/>
    </row>
    <row r="141" spans="34:54" x14ac:dyDescent="0.25">
      <c r="AH141" s="5"/>
      <c r="AI141" s="5"/>
      <c r="AJ141" s="5"/>
      <c r="AK141" s="5"/>
      <c r="AL141" s="5"/>
      <c r="AM141" s="5"/>
      <c r="AN141" s="5"/>
      <c r="AO141" s="5"/>
      <c r="AP141" s="5"/>
      <c r="AQ141" s="5"/>
      <c r="AR141" s="5"/>
      <c r="AS141" s="5"/>
      <c r="AV141" s="5"/>
      <c r="AW141" s="5"/>
      <c r="AX141" s="5"/>
      <c r="AY141" s="5"/>
      <c r="AZ141" s="5"/>
      <c r="BA141" s="8"/>
      <c r="BB141" s="5"/>
    </row>
    <row r="142" spans="34:54" x14ac:dyDescent="0.25">
      <c r="AH142" s="5"/>
      <c r="AI142" s="5"/>
      <c r="AJ142" s="5"/>
      <c r="AK142" s="5"/>
      <c r="AL142" s="5"/>
      <c r="AM142" s="5"/>
      <c r="AN142" s="5"/>
      <c r="AO142" s="5"/>
      <c r="AP142" s="5"/>
      <c r="AQ142" s="5"/>
      <c r="AR142" s="5"/>
      <c r="AS142" s="5"/>
      <c r="AV142" s="5"/>
      <c r="AW142" s="5"/>
      <c r="AX142" s="5"/>
      <c r="AY142" s="5"/>
      <c r="AZ142" s="5"/>
      <c r="BA142" s="8"/>
      <c r="BB142" s="5"/>
    </row>
    <row r="143" spans="34:54" x14ac:dyDescent="0.25">
      <c r="AH143" s="5"/>
      <c r="AI143" s="5"/>
      <c r="AJ143" s="5"/>
      <c r="AK143" s="5"/>
      <c r="AL143" s="5"/>
      <c r="AM143" s="5"/>
      <c r="AN143" s="5"/>
      <c r="AO143" s="5"/>
      <c r="AP143" s="5"/>
      <c r="AQ143" s="5"/>
      <c r="AR143" s="5"/>
      <c r="AS143" s="5"/>
      <c r="AV143" s="5"/>
      <c r="AW143" s="5"/>
      <c r="AX143" s="5"/>
      <c r="AY143" s="5"/>
      <c r="AZ143" s="5"/>
      <c r="BA143" s="8"/>
      <c r="BB143" s="5"/>
    </row>
    <row r="144" spans="34:54" x14ac:dyDescent="0.25">
      <c r="AH144" s="5"/>
      <c r="AI144" s="5"/>
      <c r="AJ144" s="5"/>
      <c r="AK144" s="5"/>
      <c r="AL144" s="5"/>
      <c r="AM144" s="5"/>
      <c r="AN144" s="5"/>
      <c r="AO144" s="5"/>
      <c r="AP144" s="5"/>
      <c r="AQ144" s="5"/>
      <c r="AR144" s="5"/>
      <c r="AS144" s="5"/>
      <c r="AV144" s="5"/>
      <c r="AW144" s="5"/>
      <c r="AX144" s="5"/>
      <c r="AY144" s="5"/>
      <c r="AZ144" s="5"/>
      <c r="BA144" s="8"/>
      <c r="BB144" s="5"/>
    </row>
    <row r="145" spans="34:54" x14ac:dyDescent="0.25">
      <c r="AH145" s="5"/>
      <c r="AI145" s="5"/>
      <c r="AJ145" s="5"/>
      <c r="AK145" s="5"/>
      <c r="AL145" s="5"/>
      <c r="AM145" s="5"/>
      <c r="AN145" s="5"/>
      <c r="AO145" s="5"/>
      <c r="AP145" s="5"/>
      <c r="AQ145" s="5"/>
      <c r="AR145" s="5"/>
      <c r="AS145" s="5"/>
      <c r="AV145" s="5"/>
      <c r="AW145" s="5"/>
      <c r="AX145" s="5"/>
      <c r="AY145" s="5"/>
      <c r="AZ145" s="5"/>
      <c r="BA145" s="8"/>
      <c r="BB145" s="5"/>
    </row>
    <row r="146" spans="34:54" x14ac:dyDescent="0.25">
      <c r="AH146" s="5"/>
      <c r="AI146" s="5"/>
      <c r="AJ146" s="5"/>
      <c r="AK146" s="5"/>
      <c r="AL146" s="5"/>
      <c r="AM146" s="5"/>
      <c r="AN146" s="5"/>
      <c r="AO146" s="5"/>
      <c r="AP146" s="5"/>
      <c r="AQ146" s="5"/>
      <c r="AR146" s="5"/>
      <c r="AS146" s="5"/>
      <c r="AV146" s="5"/>
      <c r="AW146" s="5"/>
      <c r="AX146" s="5"/>
      <c r="AY146" s="5"/>
      <c r="AZ146" s="5"/>
      <c r="BB146" s="5"/>
    </row>
    <row r="147" spans="34:54" x14ac:dyDescent="0.25">
      <c r="AH147" s="5"/>
      <c r="AI147" s="5"/>
      <c r="AJ147" s="5"/>
      <c r="AK147" s="5"/>
      <c r="AL147" s="5"/>
      <c r="AM147" s="5"/>
      <c r="AN147" s="5"/>
      <c r="AO147" s="5"/>
      <c r="AP147" s="5"/>
      <c r="AQ147" s="5"/>
      <c r="AR147" s="5"/>
      <c r="AS147" s="5"/>
      <c r="AV147" s="5"/>
      <c r="AW147" s="5"/>
      <c r="AX147" s="5"/>
      <c r="AY147" s="5"/>
      <c r="AZ147" s="5"/>
      <c r="BB147" s="5"/>
    </row>
    <row r="148" spans="34:54" x14ac:dyDescent="0.25">
      <c r="AH148" s="5"/>
      <c r="AI148" s="5"/>
      <c r="AJ148" s="5"/>
      <c r="AK148" s="5"/>
      <c r="AL148" s="5"/>
      <c r="AM148" s="5"/>
      <c r="AN148" s="5"/>
      <c r="AO148" s="5"/>
      <c r="AP148" s="5"/>
      <c r="AQ148" s="5"/>
      <c r="AR148" s="5"/>
      <c r="AS148" s="5"/>
      <c r="AV148" s="5"/>
      <c r="AW148" s="5"/>
      <c r="AX148" s="5"/>
      <c r="AY148" s="5"/>
      <c r="AZ148" s="5"/>
      <c r="BB148" s="5"/>
    </row>
    <row r="149" spans="34:54" x14ac:dyDescent="0.25">
      <c r="AH149" s="5"/>
      <c r="AI149" s="5"/>
      <c r="AJ149" s="5"/>
      <c r="AK149" s="5"/>
      <c r="AL149" s="5"/>
      <c r="AM149" s="5"/>
      <c r="AN149" s="5"/>
      <c r="AO149" s="5"/>
      <c r="AP149" s="5"/>
      <c r="AQ149" s="5"/>
      <c r="AR149" s="5"/>
      <c r="AS149" s="5"/>
      <c r="AV149" s="5"/>
      <c r="AW149" s="5"/>
      <c r="AX149" s="5"/>
      <c r="AY149" s="5"/>
      <c r="AZ149" s="5"/>
      <c r="BB149" s="5"/>
    </row>
    <row r="150" spans="34:54" x14ac:dyDescent="0.25">
      <c r="AH150" s="5"/>
      <c r="AI150" s="5"/>
      <c r="AJ150" s="5"/>
      <c r="AK150" s="5"/>
      <c r="AL150" s="5"/>
      <c r="AM150" s="5"/>
      <c r="AN150" s="5"/>
      <c r="AO150" s="5"/>
      <c r="AP150" s="5"/>
      <c r="AQ150" s="5"/>
      <c r="AR150" s="5"/>
      <c r="AS150" s="5"/>
      <c r="AV150" s="5"/>
      <c r="AW150" s="5"/>
      <c r="AX150" s="5"/>
      <c r="AY150" s="5"/>
      <c r="AZ150" s="5"/>
      <c r="BB150" s="5"/>
    </row>
    <row r="151" spans="34:54" x14ac:dyDescent="0.25">
      <c r="AH151" s="5"/>
      <c r="AI151" s="5"/>
      <c r="AJ151" s="5"/>
      <c r="AK151" s="5"/>
      <c r="AL151" s="5"/>
      <c r="AM151" s="5"/>
      <c r="AN151" s="5"/>
      <c r="AO151" s="5"/>
      <c r="AP151" s="5"/>
      <c r="AQ151" s="5"/>
      <c r="AR151" s="5"/>
      <c r="AS151" s="5"/>
      <c r="AV151" s="5"/>
      <c r="AW151" s="5"/>
      <c r="AX151" s="5"/>
      <c r="AY151" s="5"/>
      <c r="AZ151" s="5"/>
      <c r="BB151" s="5"/>
    </row>
    <row r="152" spans="34:54" x14ac:dyDescent="0.25">
      <c r="AH152" s="5"/>
      <c r="AI152" s="5"/>
      <c r="AJ152" s="5"/>
      <c r="AK152" s="5"/>
      <c r="AL152" s="5"/>
      <c r="AM152" s="5"/>
      <c r="AN152" s="5"/>
      <c r="AO152" s="5"/>
      <c r="AP152" s="5"/>
      <c r="AQ152" s="5"/>
      <c r="AR152" s="5"/>
      <c r="AS152" s="5"/>
      <c r="AV152" s="5"/>
      <c r="AW152" s="5"/>
      <c r="AX152" s="5"/>
      <c r="AY152" s="5"/>
      <c r="AZ152" s="5"/>
      <c r="BB152" s="5"/>
    </row>
    <row r="153" spans="34:54" x14ac:dyDescent="0.25">
      <c r="AH153" s="5"/>
      <c r="AI153" s="5"/>
      <c r="AJ153" s="5"/>
      <c r="AK153" s="5"/>
      <c r="AL153" s="5"/>
      <c r="AM153" s="5"/>
      <c r="AN153" s="5"/>
      <c r="AO153" s="5"/>
      <c r="AP153" s="5"/>
      <c r="AQ153" s="5"/>
      <c r="AR153" s="5"/>
      <c r="AS153" s="5"/>
      <c r="AV153" s="5"/>
      <c r="AW153" s="5"/>
      <c r="AX153" s="5"/>
      <c r="AY153" s="5"/>
      <c r="AZ153" s="5"/>
      <c r="BB153" s="5"/>
    </row>
    <row r="154" spans="34:54" x14ac:dyDescent="0.25">
      <c r="AH154" s="5"/>
      <c r="AI154" s="5"/>
      <c r="AJ154" s="5"/>
      <c r="AK154" s="5"/>
      <c r="AL154" s="5"/>
      <c r="AM154" s="5"/>
      <c r="AN154" s="5"/>
      <c r="AO154" s="5"/>
      <c r="AP154" s="5"/>
      <c r="AQ154" s="5"/>
      <c r="AR154" s="5"/>
      <c r="AS154" s="5"/>
      <c r="AV154" s="5"/>
      <c r="AW154" s="5"/>
      <c r="AX154" s="5"/>
      <c r="AY154" s="5"/>
      <c r="AZ154" s="5"/>
      <c r="BB154" s="5"/>
    </row>
    <row r="155" spans="34:54" x14ac:dyDescent="0.25">
      <c r="AH155" s="5"/>
      <c r="AI155" s="5"/>
      <c r="AJ155" s="5"/>
      <c r="AK155" s="5"/>
      <c r="AL155" s="5"/>
      <c r="AM155" s="5"/>
      <c r="AN155" s="5"/>
      <c r="AO155" s="5"/>
      <c r="AP155" s="5"/>
      <c r="AQ155" s="5"/>
      <c r="AR155" s="5"/>
      <c r="AS155" s="5"/>
      <c r="AV155" s="5"/>
      <c r="AW155" s="5"/>
      <c r="AX155" s="5"/>
      <c r="AY155" s="5"/>
      <c r="AZ155" s="5"/>
      <c r="BB155" s="5"/>
    </row>
    <row r="156" spans="34:54" x14ac:dyDescent="0.25">
      <c r="AH156" s="5"/>
      <c r="AI156" s="5"/>
      <c r="AJ156" s="5"/>
      <c r="AK156" s="5"/>
      <c r="AL156" s="5"/>
      <c r="AM156" s="5"/>
      <c r="AN156" s="5"/>
      <c r="AO156" s="5"/>
      <c r="AP156" s="5"/>
      <c r="AQ156" s="5"/>
      <c r="AR156" s="5"/>
      <c r="AS156" s="5"/>
      <c r="AV156" s="5"/>
      <c r="AW156" s="5"/>
      <c r="AX156" s="5"/>
      <c r="AY156" s="5"/>
      <c r="AZ156" s="5"/>
      <c r="BB156" s="5"/>
    </row>
    <row r="157" spans="34:54" x14ac:dyDescent="0.25">
      <c r="AH157" s="5"/>
      <c r="AI157" s="5"/>
      <c r="AJ157" s="5"/>
      <c r="AK157" s="5"/>
      <c r="AL157" s="5"/>
      <c r="AM157" s="5"/>
      <c r="AN157" s="5"/>
      <c r="AO157" s="5"/>
      <c r="AP157" s="5"/>
      <c r="AQ157" s="5"/>
      <c r="AR157" s="5"/>
      <c r="AS157" s="5"/>
      <c r="AV157" s="5"/>
      <c r="AW157" s="5"/>
      <c r="AX157" s="5"/>
      <c r="AY157" s="5"/>
      <c r="AZ157" s="5"/>
      <c r="BB157" s="5"/>
    </row>
    <row r="158" spans="34:54" x14ac:dyDescent="0.25">
      <c r="AH158" s="5"/>
      <c r="AI158" s="5"/>
      <c r="AJ158" s="5"/>
      <c r="AK158" s="5"/>
      <c r="AL158" s="5"/>
      <c r="AM158" s="5"/>
      <c r="AN158" s="5"/>
      <c r="AO158" s="5"/>
      <c r="AP158" s="5"/>
      <c r="AQ158" s="5"/>
      <c r="AR158" s="5"/>
      <c r="AS158" s="5"/>
      <c r="AV158" s="5"/>
      <c r="AW158" s="5"/>
      <c r="AX158" s="5"/>
      <c r="AY158" s="5"/>
      <c r="AZ158" s="5"/>
      <c r="BB158" s="5"/>
    </row>
    <row r="159" spans="34:54" x14ac:dyDescent="0.25">
      <c r="AH159" s="5"/>
      <c r="AI159" s="5"/>
      <c r="AJ159" s="5"/>
      <c r="AK159" s="5"/>
      <c r="AL159" s="5"/>
      <c r="AM159" s="5"/>
      <c r="AN159" s="5"/>
      <c r="AO159" s="5"/>
      <c r="AP159" s="5"/>
      <c r="AQ159" s="5"/>
      <c r="AR159" s="5"/>
      <c r="AS159" s="5"/>
      <c r="AV159" s="5"/>
      <c r="AW159" s="5"/>
      <c r="AX159" s="5"/>
      <c r="AY159" s="5"/>
      <c r="AZ159" s="5"/>
      <c r="BB159" s="5"/>
    </row>
    <row r="160" spans="34:54" x14ac:dyDescent="0.25">
      <c r="AH160" s="5"/>
      <c r="AI160" s="5"/>
      <c r="AJ160" s="5"/>
      <c r="AK160" s="5"/>
      <c r="AL160" s="5"/>
      <c r="AM160" s="5"/>
      <c r="AN160" s="5"/>
      <c r="AO160" s="5"/>
      <c r="AP160" s="5"/>
      <c r="AQ160" s="5"/>
      <c r="AR160" s="5"/>
      <c r="AS160" s="5"/>
      <c r="AV160" s="5"/>
      <c r="AW160" s="5"/>
      <c r="AX160" s="5"/>
      <c r="AY160" s="5"/>
      <c r="AZ160" s="5"/>
      <c r="BB160" s="5"/>
    </row>
    <row r="161" spans="34:54" x14ac:dyDescent="0.25">
      <c r="AH161" s="5"/>
      <c r="AI161" s="5"/>
      <c r="AJ161" s="5"/>
      <c r="AK161" s="5"/>
      <c r="AL161" s="5"/>
      <c r="AM161" s="5"/>
      <c r="AN161" s="5"/>
      <c r="AO161" s="5"/>
      <c r="AP161" s="5"/>
      <c r="AQ161" s="5"/>
      <c r="AR161" s="5"/>
      <c r="AS161" s="5"/>
      <c r="AV161" s="5"/>
      <c r="AW161" s="5"/>
      <c r="AX161" s="5"/>
      <c r="AY161" s="5"/>
      <c r="AZ161" s="5"/>
      <c r="BB161" s="5"/>
    </row>
    <row r="162" spans="34:54" x14ac:dyDescent="0.25">
      <c r="AH162" s="5"/>
      <c r="AI162" s="5"/>
      <c r="AJ162" s="5"/>
      <c r="AK162" s="5"/>
      <c r="AL162" s="5"/>
      <c r="AM162" s="5"/>
      <c r="AN162" s="5"/>
      <c r="AO162" s="5"/>
      <c r="AP162" s="5"/>
      <c r="AQ162" s="5"/>
      <c r="AR162" s="5"/>
      <c r="AS162" s="5"/>
      <c r="AV162" s="5"/>
      <c r="AW162" s="5"/>
      <c r="AX162" s="5"/>
      <c r="AY162" s="5"/>
      <c r="AZ162" s="5"/>
      <c r="BB162" s="5"/>
    </row>
    <row r="163" spans="34:54" x14ac:dyDescent="0.25">
      <c r="AH163" s="5"/>
      <c r="AI163" s="5"/>
      <c r="AJ163" s="5"/>
      <c r="AK163" s="5"/>
      <c r="AL163" s="5"/>
      <c r="AM163" s="5"/>
      <c r="AN163" s="5"/>
      <c r="AO163" s="5"/>
      <c r="AP163" s="5"/>
      <c r="AQ163" s="5"/>
      <c r="AR163" s="5"/>
      <c r="AS163" s="5"/>
      <c r="AV163" s="5"/>
      <c r="AW163" s="5"/>
      <c r="AX163" s="5"/>
      <c r="AY163" s="5"/>
      <c r="AZ163" s="5"/>
      <c r="BB163" s="5"/>
    </row>
    <row r="164" spans="34:54" x14ac:dyDescent="0.25">
      <c r="AH164" s="5"/>
      <c r="AI164" s="5"/>
      <c r="AJ164" s="5"/>
      <c r="AK164" s="5"/>
      <c r="AL164" s="5"/>
      <c r="AM164" s="5"/>
      <c r="AN164" s="5"/>
      <c r="AO164" s="5"/>
      <c r="AP164" s="5"/>
      <c r="AQ164" s="5"/>
      <c r="AR164" s="5"/>
      <c r="AS164" s="5"/>
      <c r="AV164" s="5"/>
      <c r="AW164" s="5"/>
      <c r="AX164" s="5"/>
      <c r="AY164" s="5"/>
      <c r="AZ164" s="5"/>
      <c r="BB164" s="5"/>
    </row>
    <row r="165" spans="34:54" x14ac:dyDescent="0.25">
      <c r="AH165" s="5"/>
      <c r="AI165" s="5"/>
      <c r="AJ165" s="5"/>
      <c r="AK165" s="5"/>
      <c r="AL165" s="5"/>
      <c r="AM165" s="5"/>
      <c r="AN165" s="5"/>
      <c r="AO165" s="5"/>
      <c r="AP165" s="5"/>
      <c r="AQ165" s="5"/>
      <c r="AR165" s="5"/>
      <c r="AS165" s="5"/>
      <c r="AV165" s="5"/>
      <c r="AW165" s="5"/>
      <c r="AX165" s="5"/>
      <c r="AY165" s="5"/>
      <c r="AZ165" s="5"/>
      <c r="BB165" s="5"/>
    </row>
    <row r="166" spans="34:54" x14ac:dyDescent="0.25">
      <c r="AH166" s="5"/>
      <c r="AI166" s="5"/>
      <c r="AJ166" s="5"/>
      <c r="AK166" s="5"/>
      <c r="AL166" s="5"/>
      <c r="AM166" s="5"/>
      <c r="AN166" s="5"/>
      <c r="AO166" s="5"/>
      <c r="AP166" s="5"/>
      <c r="AQ166" s="5"/>
      <c r="AR166" s="5"/>
      <c r="AS166" s="5"/>
      <c r="AV166" s="5"/>
      <c r="AW166" s="5"/>
      <c r="AX166" s="5"/>
      <c r="AY166" s="5"/>
      <c r="AZ166" s="5"/>
      <c r="BB166" s="5"/>
    </row>
    <row r="167" spans="34:54" x14ac:dyDescent="0.25">
      <c r="AH167" s="5"/>
      <c r="AI167" s="5"/>
      <c r="AJ167" s="5"/>
      <c r="AK167" s="5"/>
      <c r="AL167" s="5"/>
      <c r="AM167" s="5"/>
      <c r="AN167" s="5"/>
      <c r="AO167" s="5"/>
      <c r="AP167" s="5"/>
      <c r="AQ167" s="5"/>
      <c r="AR167" s="5"/>
      <c r="AS167" s="5"/>
      <c r="AV167" s="5"/>
      <c r="AW167" s="5"/>
      <c r="AX167" s="5"/>
      <c r="AY167" s="5"/>
      <c r="AZ167" s="5"/>
      <c r="BB167" s="5"/>
    </row>
    <row r="168" spans="34:54" x14ac:dyDescent="0.25">
      <c r="AH168" s="5"/>
      <c r="AI168" s="5"/>
      <c r="AJ168" s="5"/>
      <c r="AK168" s="5"/>
      <c r="AL168" s="5"/>
      <c r="AM168" s="5"/>
      <c r="AN168" s="5"/>
      <c r="AO168" s="5"/>
      <c r="AP168" s="5"/>
      <c r="AQ168" s="5"/>
      <c r="AR168" s="5"/>
      <c r="AS168" s="5"/>
      <c r="AV168" s="5"/>
      <c r="AW168" s="5"/>
      <c r="AX168" s="5"/>
      <c r="AY168" s="5"/>
      <c r="AZ168" s="5"/>
      <c r="BB168" s="5"/>
    </row>
    <row r="169" spans="34:54" x14ac:dyDescent="0.25">
      <c r="AH169" s="5"/>
      <c r="AI169" s="5"/>
      <c r="AJ169" s="5"/>
      <c r="AK169" s="5"/>
      <c r="AL169" s="5"/>
      <c r="AM169" s="5"/>
      <c r="AN169" s="5"/>
      <c r="AO169" s="5"/>
      <c r="AP169" s="5"/>
      <c r="AQ169" s="5"/>
      <c r="AR169" s="5"/>
      <c r="AS169" s="5"/>
      <c r="AV169" s="5"/>
      <c r="AW169" s="5"/>
      <c r="AX169" s="5"/>
      <c r="AY169" s="5"/>
      <c r="AZ169" s="5"/>
      <c r="BB169" s="5"/>
    </row>
    <row r="170" spans="34:54" x14ac:dyDescent="0.25">
      <c r="AH170" s="5"/>
      <c r="AI170" s="5"/>
      <c r="AJ170" s="5"/>
      <c r="AK170" s="5"/>
      <c r="AL170" s="5"/>
      <c r="AM170" s="5"/>
      <c r="AN170" s="5"/>
      <c r="AO170" s="5"/>
      <c r="AP170" s="5"/>
      <c r="AQ170" s="5"/>
      <c r="AR170" s="5"/>
      <c r="AS170" s="5"/>
      <c r="AV170" s="5"/>
      <c r="AW170" s="5"/>
      <c r="AX170" s="5"/>
      <c r="AY170" s="5"/>
      <c r="AZ170" s="5"/>
      <c r="BB170" s="5"/>
    </row>
    <row r="171" spans="34:54" x14ac:dyDescent="0.25">
      <c r="AH171" s="5"/>
      <c r="AI171" s="5"/>
      <c r="AJ171" s="5"/>
      <c r="AK171" s="5"/>
      <c r="AL171" s="5"/>
      <c r="AM171" s="5"/>
      <c r="AN171" s="5"/>
      <c r="AO171" s="5"/>
      <c r="AP171" s="5"/>
      <c r="AQ171" s="5"/>
      <c r="AR171" s="5"/>
      <c r="AS171" s="5"/>
      <c r="AV171" s="5"/>
      <c r="AW171" s="5"/>
      <c r="AX171" s="5"/>
      <c r="AY171" s="5"/>
      <c r="AZ171" s="5"/>
      <c r="BB171" s="5"/>
    </row>
    <row r="172" spans="34:54" x14ac:dyDescent="0.25">
      <c r="AH172" s="5"/>
      <c r="AI172" s="5"/>
      <c r="AJ172" s="5"/>
      <c r="AK172" s="5"/>
      <c r="AL172" s="5"/>
      <c r="AM172" s="5"/>
      <c r="AN172" s="5"/>
      <c r="AO172" s="5"/>
      <c r="AP172" s="5"/>
      <c r="AQ172" s="5"/>
      <c r="AR172" s="5"/>
      <c r="AS172" s="5"/>
      <c r="AV172" s="5"/>
      <c r="AW172" s="5"/>
      <c r="AX172" s="5"/>
      <c r="AY172" s="5"/>
      <c r="AZ172" s="5"/>
      <c r="BB172" s="5"/>
    </row>
    <row r="173" spans="34:54" x14ac:dyDescent="0.25">
      <c r="AH173" s="5"/>
      <c r="AI173" s="5"/>
      <c r="AJ173" s="5"/>
      <c r="AK173" s="5"/>
      <c r="AL173" s="5"/>
      <c r="AM173" s="5"/>
      <c r="AN173" s="5"/>
      <c r="AO173" s="5"/>
      <c r="AP173" s="5"/>
      <c r="AQ173" s="5"/>
      <c r="AR173" s="5"/>
      <c r="AS173" s="5"/>
      <c r="AV173" s="5"/>
      <c r="AW173" s="5"/>
      <c r="AX173" s="5"/>
      <c r="AY173" s="5"/>
      <c r="AZ173" s="5"/>
      <c r="BB173" s="5"/>
    </row>
    <row r="174" spans="34:54" x14ac:dyDescent="0.25">
      <c r="AH174" s="5"/>
      <c r="AI174" s="5"/>
      <c r="AJ174" s="5"/>
      <c r="AK174" s="5"/>
      <c r="AL174" s="5"/>
      <c r="AM174" s="5"/>
      <c r="AN174" s="5"/>
      <c r="AO174" s="5"/>
      <c r="AP174" s="5"/>
      <c r="AQ174" s="5"/>
      <c r="AR174" s="5"/>
      <c r="AS174" s="5"/>
      <c r="AV174" s="5"/>
      <c r="AW174" s="5"/>
      <c r="AX174" s="5"/>
      <c r="AY174" s="5"/>
      <c r="AZ174" s="5"/>
      <c r="BB174" s="5"/>
    </row>
    <row r="175" spans="34:54" x14ac:dyDescent="0.25">
      <c r="AH175" s="5"/>
      <c r="AI175" s="5"/>
      <c r="AJ175" s="5"/>
      <c r="AK175" s="5"/>
      <c r="AL175" s="5"/>
      <c r="AM175" s="5"/>
      <c r="AN175" s="5"/>
      <c r="AO175" s="5"/>
      <c r="AP175" s="5"/>
      <c r="AQ175" s="5"/>
      <c r="AR175" s="5"/>
      <c r="AS175" s="5"/>
      <c r="AV175" s="5"/>
      <c r="AW175" s="5"/>
      <c r="AX175" s="5"/>
      <c r="AY175" s="5"/>
      <c r="AZ175" s="5"/>
      <c r="BB175" s="5"/>
    </row>
    <row r="176" spans="34:54" x14ac:dyDescent="0.25">
      <c r="AH176" s="5"/>
      <c r="AI176" s="5"/>
      <c r="AJ176" s="5"/>
      <c r="AK176" s="5"/>
      <c r="AL176" s="5"/>
      <c r="AM176" s="5"/>
      <c r="AN176" s="5"/>
      <c r="AO176" s="5"/>
      <c r="AP176" s="5"/>
      <c r="AQ176" s="5"/>
      <c r="AR176" s="5"/>
      <c r="AS176" s="5"/>
      <c r="AV176" s="5"/>
      <c r="AW176" s="5"/>
      <c r="AX176" s="5"/>
      <c r="AY176" s="5"/>
      <c r="AZ176" s="5"/>
      <c r="BB176" s="5"/>
    </row>
    <row r="177" spans="34:54" x14ac:dyDescent="0.25">
      <c r="AH177" s="5"/>
      <c r="AI177" s="5"/>
      <c r="AJ177" s="5"/>
      <c r="AK177" s="5"/>
      <c r="AL177" s="5"/>
      <c r="AM177" s="5"/>
      <c r="AN177" s="5"/>
      <c r="AO177" s="5"/>
      <c r="AP177" s="5"/>
      <c r="AQ177" s="5"/>
      <c r="AR177" s="5"/>
      <c r="AS177" s="5"/>
      <c r="AV177" s="5"/>
      <c r="AW177" s="5"/>
      <c r="AX177" s="5"/>
      <c r="AY177" s="5"/>
      <c r="AZ177" s="5"/>
      <c r="BB177" s="5"/>
    </row>
    <row r="178" spans="34:54" x14ac:dyDescent="0.25">
      <c r="AH178" s="5"/>
      <c r="AI178" s="5"/>
      <c r="AJ178" s="5"/>
      <c r="AK178" s="5"/>
      <c r="AL178" s="5"/>
      <c r="AM178" s="5"/>
      <c r="AN178" s="5"/>
      <c r="AO178" s="5"/>
      <c r="AP178" s="5"/>
      <c r="AQ178" s="5"/>
      <c r="AR178" s="5"/>
      <c r="AS178" s="5"/>
      <c r="AV178" s="5"/>
      <c r="AW178" s="5"/>
      <c r="AX178" s="5"/>
      <c r="AY178" s="5"/>
      <c r="AZ178" s="5"/>
      <c r="BB178" s="5"/>
    </row>
    <row r="179" spans="34:54" x14ac:dyDescent="0.25">
      <c r="AH179" s="5"/>
      <c r="AI179" s="5"/>
      <c r="AJ179" s="5"/>
      <c r="AK179" s="5"/>
      <c r="AL179" s="5"/>
      <c r="AM179" s="5"/>
      <c r="AN179" s="5"/>
      <c r="AO179" s="5"/>
      <c r="AP179" s="5"/>
      <c r="AQ179" s="5"/>
      <c r="AR179" s="5"/>
      <c r="AS179" s="5"/>
      <c r="AV179" s="5"/>
      <c r="AW179" s="5"/>
      <c r="AX179" s="5"/>
      <c r="AY179" s="5"/>
      <c r="AZ179" s="5"/>
      <c r="BB179" s="5"/>
    </row>
    <row r="180" spans="34:54" x14ac:dyDescent="0.25">
      <c r="AH180" s="5"/>
      <c r="AI180" s="5"/>
      <c r="AJ180" s="5"/>
      <c r="AK180" s="5"/>
      <c r="AL180" s="5"/>
      <c r="AM180" s="5"/>
      <c r="AN180" s="5"/>
      <c r="AO180" s="5"/>
      <c r="AP180" s="5"/>
      <c r="AQ180" s="5"/>
      <c r="AR180" s="5"/>
      <c r="AS180" s="5"/>
      <c r="AV180" s="5"/>
      <c r="AW180" s="5"/>
      <c r="AX180" s="5"/>
      <c r="AY180" s="5"/>
      <c r="AZ180" s="5"/>
      <c r="BB180" s="5"/>
    </row>
    <row r="181" spans="34:54" x14ac:dyDescent="0.25">
      <c r="AH181" s="5"/>
      <c r="AI181" s="5"/>
      <c r="AJ181" s="5"/>
      <c r="AK181" s="5"/>
      <c r="AL181" s="5"/>
      <c r="AM181" s="5"/>
      <c r="AN181" s="5"/>
      <c r="AO181" s="5"/>
      <c r="AP181" s="5"/>
      <c r="AQ181" s="5"/>
      <c r="AR181" s="5"/>
      <c r="AS181" s="5"/>
      <c r="AV181" s="5"/>
      <c r="AW181" s="5"/>
      <c r="AX181" s="5"/>
      <c r="AY181" s="5"/>
      <c r="AZ181" s="5"/>
      <c r="BB181" s="5"/>
    </row>
    <row r="182" spans="34:54" x14ac:dyDescent="0.25">
      <c r="AH182" s="5"/>
      <c r="AI182" s="5"/>
      <c r="AJ182" s="5"/>
      <c r="AK182" s="5"/>
      <c r="AL182" s="5"/>
      <c r="AM182" s="5"/>
      <c r="AN182" s="5"/>
      <c r="AO182" s="5"/>
      <c r="AP182" s="5"/>
      <c r="AQ182" s="5"/>
      <c r="AR182" s="5"/>
      <c r="AS182" s="5"/>
      <c r="AV182" s="5"/>
      <c r="AW182" s="5"/>
      <c r="AX182" s="5"/>
      <c r="AY182" s="5"/>
      <c r="AZ182" s="5"/>
      <c r="BB182" s="5"/>
    </row>
    <row r="183" spans="34:54" x14ac:dyDescent="0.25">
      <c r="AH183" s="5"/>
      <c r="AI183" s="5"/>
      <c r="AJ183" s="5"/>
      <c r="AK183" s="5"/>
      <c r="AL183" s="5"/>
      <c r="AM183" s="5"/>
      <c r="AN183" s="5"/>
      <c r="AO183" s="5"/>
      <c r="AP183" s="5"/>
      <c r="AQ183" s="5"/>
      <c r="AR183" s="5"/>
      <c r="AS183" s="5"/>
      <c r="AV183" s="5"/>
      <c r="AW183" s="5"/>
      <c r="AX183" s="5"/>
      <c r="AY183" s="5"/>
      <c r="AZ183" s="5"/>
      <c r="BB183" s="5"/>
    </row>
    <row r="184" spans="34:54" x14ac:dyDescent="0.25">
      <c r="AH184" s="5"/>
      <c r="AI184" s="5"/>
      <c r="AJ184" s="5"/>
      <c r="AK184" s="5"/>
      <c r="AL184" s="5"/>
      <c r="AM184" s="5"/>
      <c r="AN184" s="5"/>
      <c r="AO184" s="5"/>
      <c r="AP184" s="5"/>
      <c r="AQ184" s="5"/>
      <c r="AR184" s="5"/>
      <c r="AS184" s="5"/>
      <c r="AV184" s="5"/>
      <c r="AW184" s="5"/>
      <c r="AX184" s="5"/>
      <c r="AY184" s="5"/>
      <c r="AZ184" s="5"/>
      <c r="BB184" s="5"/>
    </row>
    <row r="185" spans="34:54" x14ac:dyDescent="0.25">
      <c r="AH185" s="5"/>
      <c r="AI185" s="5"/>
      <c r="AJ185" s="5"/>
      <c r="AK185" s="5"/>
      <c r="AL185" s="5"/>
      <c r="AM185" s="5"/>
      <c r="AN185" s="5"/>
      <c r="AO185" s="5"/>
      <c r="AP185" s="5"/>
      <c r="AQ185" s="5"/>
      <c r="AR185" s="5"/>
      <c r="AS185" s="5"/>
      <c r="AV185" s="5"/>
      <c r="AW185" s="5"/>
      <c r="AX185" s="5"/>
      <c r="AY185" s="5"/>
      <c r="AZ185" s="5"/>
      <c r="BB185" s="5"/>
    </row>
  </sheetData>
  <mergeCells count="65">
    <mergeCell ref="L84:N84"/>
    <mergeCell ref="AG17:AJ17"/>
    <mergeCell ref="AC17:AD17"/>
    <mergeCell ref="AE17:AF17"/>
    <mergeCell ref="AA57:AB57"/>
    <mergeCell ref="AC57:AD57"/>
    <mergeCell ref="AE57:AF57"/>
    <mergeCell ref="AG57:AJ57"/>
    <mergeCell ref="K75:O75"/>
    <mergeCell ref="S57:T57"/>
    <mergeCell ref="K83:O83"/>
    <mergeCell ref="L68:N68"/>
    <mergeCell ref="L56:N56"/>
    <mergeCell ref="L76:N76"/>
    <mergeCell ref="B2:M3"/>
    <mergeCell ref="B5:F5"/>
    <mergeCell ref="F17:N20"/>
    <mergeCell ref="F22:N22"/>
    <mergeCell ref="B9:G9"/>
    <mergeCell ref="B13:C13"/>
    <mergeCell ref="D13:E13"/>
    <mergeCell ref="F13:G13"/>
    <mergeCell ref="G5:H5"/>
    <mergeCell ref="H9:I9"/>
    <mergeCell ref="H13:I13"/>
    <mergeCell ref="J9:K9"/>
    <mergeCell ref="B53:D56"/>
    <mergeCell ref="K67:O67"/>
    <mergeCell ref="CC16:CD17"/>
    <mergeCell ref="U57:V57"/>
    <mergeCell ref="W57:X57"/>
    <mergeCell ref="Y57:Z57"/>
    <mergeCell ref="AP57:AQ57"/>
    <mergeCell ref="AR57:AS57"/>
    <mergeCell ref="Q57:R57"/>
    <mergeCell ref="BA57:BB57"/>
    <mergeCell ref="F24:N24"/>
    <mergeCell ref="U17:V17"/>
    <mergeCell ref="AA17:AB17"/>
    <mergeCell ref="W17:X17"/>
    <mergeCell ref="Q16:AJ16"/>
    <mergeCell ref="K55:O55"/>
    <mergeCell ref="BZ15:CE15"/>
    <mergeCell ref="CG15:CL15"/>
    <mergeCell ref="AT17:AU17"/>
    <mergeCell ref="CA16:CB17"/>
    <mergeCell ref="BV16:BW17"/>
    <mergeCell ref="BT16:BU17"/>
    <mergeCell ref="BD16:BG16"/>
    <mergeCell ref="BY16:BZ17"/>
    <mergeCell ref="BR16:BS17"/>
    <mergeCell ref="AL16:BB16"/>
    <mergeCell ref="AY17:AZ17"/>
    <mergeCell ref="BA17:BB17"/>
    <mergeCell ref="AW17:AX17"/>
    <mergeCell ref="AY57:AZ57"/>
    <mergeCell ref="AW57:AX57"/>
    <mergeCell ref="AL17:AO17"/>
    <mergeCell ref="Q17:R17"/>
    <mergeCell ref="S17:T17"/>
    <mergeCell ref="Y17:Z17"/>
    <mergeCell ref="AT57:AU57"/>
    <mergeCell ref="AL57:AO57"/>
    <mergeCell ref="AP17:AQ17"/>
    <mergeCell ref="AR17:AS17"/>
  </mergeCells>
  <pageMargins left="0.78740157499999996" right="0.78740157499999996" top="0.984251969" bottom="0.984251969" header="0.4921259845" footer="0.4921259845"/>
  <pageSetup paperSize="9" orientation="portrait" horizontalDpi="0" verticalDpi="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158</vt:i4>
      </vt:variant>
    </vt:vector>
  </HeadingPairs>
  <TitlesOfParts>
    <vt:vector size="162" baseType="lpstr">
      <vt:lpstr>Demarche cis</vt:lpstr>
      <vt:lpstr>CIN</vt:lpstr>
      <vt:lpstr>Table3</vt:lpstr>
      <vt:lpstr>Table double</vt:lpstr>
      <vt:lpstr>Table3!_Pb1</vt:lpstr>
      <vt:lpstr>_Pb1</vt:lpstr>
      <vt:lpstr>Table3!_Pb2</vt:lpstr>
      <vt:lpstr>_Pb2</vt:lpstr>
      <vt:lpstr>Table3!_Pb3</vt:lpstr>
      <vt:lpstr>_Pb3</vt:lpstr>
      <vt:lpstr>Table3!_Pb4</vt:lpstr>
      <vt:lpstr>_Pb4</vt:lpstr>
      <vt:lpstr>_Pb5</vt:lpstr>
      <vt:lpstr>_Pb6</vt:lpstr>
      <vt:lpstr>Table3!_Xg1</vt:lpstr>
      <vt:lpstr>_Xg1</vt:lpstr>
      <vt:lpstr>Table3!_Xg2</vt:lpstr>
      <vt:lpstr>_Xg2</vt:lpstr>
      <vt:lpstr>Table3!_Xg3</vt:lpstr>
      <vt:lpstr>_Xg3</vt:lpstr>
      <vt:lpstr>Table3!_Xg4</vt:lpstr>
      <vt:lpstr>_Xg4</vt:lpstr>
      <vt:lpstr>_Xg5</vt:lpstr>
      <vt:lpstr>_Xg6</vt:lpstr>
      <vt:lpstr>Table3!a</vt:lpstr>
      <vt:lpstr>a</vt:lpstr>
      <vt:lpstr>Table3!a_</vt:lpstr>
      <vt:lpstr>AD</vt:lpstr>
      <vt:lpstr>Table3!AI</vt:lpstr>
      <vt:lpstr>Table3!alpha</vt:lpstr>
      <vt:lpstr>alpha</vt:lpstr>
      <vt:lpstr>Table3!b</vt:lpstr>
      <vt:lpstr>b</vt:lpstr>
      <vt:lpstr>Table3!b_</vt:lpstr>
      <vt:lpstr>'Table double'!beta</vt:lpstr>
      <vt:lpstr>Table3!beta</vt:lpstr>
      <vt:lpstr>beta</vt:lpstr>
      <vt:lpstr>Table3!Charge</vt:lpstr>
      <vt:lpstr>Charge</vt:lpstr>
      <vt:lpstr>d</vt:lpstr>
      <vt:lpstr>DS</vt:lpstr>
      <vt:lpstr>e</vt:lpstr>
      <vt:lpstr>EM</vt:lpstr>
      <vt:lpstr>EN</vt:lpstr>
      <vt:lpstr>f</vt:lpstr>
      <vt:lpstr>Fgx</vt:lpstr>
      <vt:lpstr>Table3!Fgy</vt:lpstr>
      <vt:lpstr>Fhx</vt:lpstr>
      <vt:lpstr>Table3!Fhy</vt:lpstr>
      <vt:lpstr>Table3!Fix</vt:lpstr>
      <vt:lpstr>Table3!Fiy</vt:lpstr>
      <vt:lpstr>Table3!Fjx</vt:lpstr>
      <vt:lpstr>Table3!Fjy</vt:lpstr>
      <vt:lpstr>Fkx</vt:lpstr>
      <vt:lpstr>Fky</vt:lpstr>
      <vt:lpstr>Table3!Fvx</vt:lpstr>
      <vt:lpstr>Table3!Fvy</vt:lpstr>
      <vt:lpstr>Fxb</vt:lpstr>
      <vt:lpstr>Fxd</vt:lpstr>
      <vt:lpstr>Fxe</vt:lpstr>
      <vt:lpstr>Fxt</vt:lpstr>
      <vt:lpstr>Fxv</vt:lpstr>
      <vt:lpstr>Fyb</vt:lpstr>
      <vt:lpstr>Fyd</vt:lpstr>
      <vt:lpstr>Fye</vt:lpstr>
      <vt:lpstr>Fyt</vt:lpstr>
      <vt:lpstr>Fyv</vt:lpstr>
      <vt:lpstr>g</vt:lpstr>
      <vt:lpstr>'Table double'!h</vt:lpstr>
      <vt:lpstr>Table3!HM</vt:lpstr>
      <vt:lpstr>Table3!HN</vt:lpstr>
      <vt:lpstr>i</vt:lpstr>
      <vt:lpstr>j</vt:lpstr>
      <vt:lpstr>JH</vt:lpstr>
      <vt:lpstr>k</vt:lpstr>
      <vt:lpstr>Table3!l_</vt:lpstr>
      <vt:lpstr>Table3!Lv</vt:lpstr>
      <vt:lpstr>Lv</vt:lpstr>
      <vt:lpstr>Table3!m</vt:lpstr>
      <vt:lpstr>Table3!n</vt:lpstr>
      <vt:lpstr>Table3!o</vt:lpstr>
      <vt:lpstr>'Table double'!P</vt:lpstr>
      <vt:lpstr>Table3!P</vt:lpstr>
      <vt:lpstr>Table3!p_</vt:lpstr>
      <vt:lpstr>Table3!Pb</vt:lpstr>
      <vt:lpstr>Pb</vt:lpstr>
      <vt:lpstr>Table3!Ph</vt:lpstr>
      <vt:lpstr>Ph</vt:lpstr>
      <vt:lpstr>Table3!PP</vt:lpstr>
      <vt:lpstr>PP</vt:lpstr>
      <vt:lpstr>Table3!Pt</vt:lpstr>
      <vt:lpstr>Pt</vt:lpstr>
      <vt:lpstr>Table3!q</vt:lpstr>
      <vt:lpstr>Table3!r_</vt:lpstr>
      <vt:lpstr>Table3!Rax</vt:lpstr>
      <vt:lpstr>Table3!Ray</vt:lpstr>
      <vt:lpstr>Table3!Rbx</vt:lpstr>
      <vt:lpstr>Table3!Rby</vt:lpstr>
      <vt:lpstr>Table3!Rcy</vt:lpstr>
      <vt:lpstr>Table3!Rdx</vt:lpstr>
      <vt:lpstr>Table3!Rdy</vt:lpstr>
      <vt:lpstr>Table3!Rex</vt:lpstr>
      <vt:lpstr>Rey</vt:lpstr>
      <vt:lpstr>Table3!Rfx</vt:lpstr>
      <vt:lpstr>Rfy</vt:lpstr>
      <vt:lpstr>Rxa</vt:lpstr>
      <vt:lpstr>Rxr</vt:lpstr>
      <vt:lpstr>Rxs</vt:lpstr>
      <vt:lpstr>Rya</vt:lpstr>
      <vt:lpstr>Ryc</vt:lpstr>
      <vt:lpstr>Ryr</vt:lpstr>
      <vt:lpstr>Rys</vt:lpstr>
      <vt:lpstr>Table3!s</vt:lpstr>
      <vt:lpstr>t</vt:lpstr>
      <vt:lpstr>Ta</vt:lpstr>
      <vt:lpstr>TE</vt:lpstr>
      <vt:lpstr>u</vt:lpstr>
      <vt:lpstr>v</vt:lpstr>
      <vt:lpstr>w</vt:lpstr>
      <vt:lpstr>Table3!Xb</vt:lpstr>
      <vt:lpstr>Xb</vt:lpstr>
      <vt:lpstr>Table3!Xc</vt:lpstr>
      <vt:lpstr>Xc</vt:lpstr>
      <vt:lpstr>Table3!Xd</vt:lpstr>
      <vt:lpstr>Xd</vt:lpstr>
      <vt:lpstr>Table3!Xe</vt:lpstr>
      <vt:lpstr>Xe</vt:lpstr>
      <vt:lpstr>Table3!Xf</vt:lpstr>
      <vt:lpstr>Xg</vt:lpstr>
      <vt:lpstr>Xh</vt:lpstr>
      <vt:lpstr>xh_</vt:lpstr>
      <vt:lpstr>Table3!Xi</vt:lpstr>
      <vt:lpstr>Table3!Xj</vt:lpstr>
      <vt:lpstr>Xj</vt:lpstr>
      <vt:lpstr>Xk</vt:lpstr>
      <vt:lpstr>Xr</vt:lpstr>
      <vt:lpstr>Xs</vt:lpstr>
      <vt:lpstr>Xt</vt:lpstr>
      <vt:lpstr>Xvrb</vt:lpstr>
      <vt:lpstr>Table3!Xvrh</vt:lpstr>
      <vt:lpstr>Table3!Yb</vt:lpstr>
      <vt:lpstr>Yb</vt:lpstr>
      <vt:lpstr>Table3!Yc</vt:lpstr>
      <vt:lpstr>Yc</vt:lpstr>
      <vt:lpstr>Table3!Yd</vt:lpstr>
      <vt:lpstr>Yd</vt:lpstr>
      <vt:lpstr>Table3!Ye</vt:lpstr>
      <vt:lpstr>Ye</vt:lpstr>
      <vt:lpstr>Table3!Yf</vt:lpstr>
      <vt:lpstr>Yg</vt:lpstr>
      <vt:lpstr>Yh</vt:lpstr>
      <vt:lpstr>Yh_</vt:lpstr>
      <vt:lpstr>Table3!Yi</vt:lpstr>
      <vt:lpstr>Table3!Yj</vt:lpstr>
      <vt:lpstr>Yj</vt:lpstr>
      <vt:lpstr>Yk</vt:lpstr>
      <vt:lpstr>Yr</vt:lpstr>
      <vt:lpstr>Ys</vt:lpstr>
      <vt:lpstr>Yt</vt:lpstr>
      <vt:lpstr>Yvrb</vt:lpstr>
      <vt:lpstr>Table3!Yvrh</vt:lpstr>
      <vt:lpstr>CIN!Zone_d_impression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dber</dc:creator>
  <cp:keywords>calcul</cp:keywords>
  <cp:lastModifiedBy>dber</cp:lastModifiedBy>
  <cp:lastPrinted>2013-12-17T09:12:37Z</cp:lastPrinted>
  <dcterms:created xsi:type="dcterms:W3CDTF">2013-12-03T14:50:50Z</dcterms:created>
  <dcterms:modified xsi:type="dcterms:W3CDTF">2014-02-18T13:04:11Z</dcterms:modified>
</cp:coreProperties>
</file>