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230" windowHeight="4815"/>
  </bookViews>
  <sheets>
    <sheet name="Calculs" sheetId="1" r:id="rId1"/>
    <sheet name="Calculs manuels" sheetId="2" r:id="rId2"/>
  </sheets>
  <definedNames>
    <definedName name="A">Calculs!$N$13</definedName>
    <definedName name="Accel2">Calculs!$R$23:$R$149</definedName>
    <definedName name="C_">Calculs!$K$6</definedName>
    <definedName name="C_2">Calculs!$S$23:$S$149</definedName>
    <definedName name="Cg">Calculs!$F$71</definedName>
    <definedName name="f">Calculs!$L$6</definedName>
    <definedName name="Fd">Calculs!$T$23:$T$149</definedName>
    <definedName name="J_1">Calculs!$Q$6</definedName>
    <definedName name="J_2">Calculs!$R$6</definedName>
    <definedName name="J_3">Calculs!$S$6</definedName>
    <definedName name="Je">Calculs!$R$13</definedName>
    <definedName name="Jg">Calculs!$U$6</definedName>
    <definedName name="Jv">Calculs!$T$6</definedName>
    <definedName name="K">Calculs!$L$13</definedName>
    <definedName name="M">Calculs!$M$6</definedName>
    <definedName name="Pente">Calculs!$S$13</definedName>
    <definedName name="R_1">Calculs!$N$6</definedName>
    <definedName name="R_2">Calculs!$O$6</definedName>
    <definedName name="R_3">Calculs!$P$6</definedName>
    <definedName name="t">Calculs!$K$23:$K$149</definedName>
    <definedName name="T_1">Calculs!$M$13</definedName>
    <definedName name="t_tan">Calculs!$T$13</definedName>
    <definedName name="V">Calculs!$M$23:$M$149</definedName>
    <definedName name="X">Calculs!$L$23:$L$149</definedName>
    <definedName name="ϒ">Calculs!$N$23:$N$149</definedName>
    <definedName name="ω">Calculs!$K$13</definedName>
    <definedName name="ω2">Calculs!$Q$23:$Q$149</definedName>
    <definedName name="ω2dec">Calculs!$P$23:$P$149</definedName>
    <definedName name="ω3">Calculs!$O$23:$O$149</definedName>
    <definedName name="ω3_tan">Calculs!$U$13</definedName>
  </definedNames>
  <calcPr calcId="145621"/>
</workbook>
</file>

<file path=xl/calcChain.xml><?xml version="1.0" encoding="utf-8"?>
<calcChain xmlns="http://schemas.openxmlformats.org/spreadsheetml/2006/main">
  <c r="R72" i="1" l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23" i="1"/>
  <c r="T6" i="1" l="1"/>
  <c r="F71" i="1"/>
  <c r="L13" i="1" l="1"/>
  <c r="N13" i="1"/>
  <c r="M13" i="1" l="1"/>
  <c r="K13" i="1"/>
  <c r="U6" i="1"/>
  <c r="Q6" i="1"/>
  <c r="R6" i="1"/>
  <c r="S13" i="1" l="1"/>
  <c r="T13" i="1" s="1"/>
  <c r="M23" i="1"/>
  <c r="N23" i="1"/>
  <c r="R13" i="1"/>
  <c r="K24" i="1"/>
  <c r="L23" i="1"/>
  <c r="U13" i="1" l="1"/>
  <c r="O23" i="1"/>
  <c r="U23" i="1"/>
  <c r="S23" i="1"/>
  <c r="T23" i="1" s="1"/>
  <c r="N24" i="1"/>
  <c r="M24" i="1"/>
  <c r="K25" i="1"/>
  <c r="L24" i="1"/>
  <c r="P23" i="1" l="1"/>
  <c r="P25" i="1"/>
  <c r="P24" i="1"/>
  <c r="O24" i="1"/>
  <c r="U24" i="1"/>
  <c r="S24" i="1"/>
  <c r="T24" i="1" s="1"/>
  <c r="N25" i="1"/>
  <c r="K26" i="1"/>
  <c r="M25" i="1"/>
  <c r="L25" i="1"/>
  <c r="Q24" i="1" l="1"/>
  <c r="Q23" i="1"/>
  <c r="P26" i="1"/>
  <c r="O25" i="1"/>
  <c r="Q25" i="1" s="1"/>
  <c r="U25" i="1"/>
  <c r="S25" i="1"/>
  <c r="T25" i="1" s="1"/>
  <c r="N26" i="1"/>
  <c r="K27" i="1"/>
  <c r="L26" i="1"/>
  <c r="M26" i="1"/>
  <c r="P27" i="1" l="1"/>
  <c r="O26" i="1"/>
  <c r="Q26" i="1" s="1"/>
  <c r="U26" i="1"/>
  <c r="S26" i="1"/>
  <c r="T26" i="1" s="1"/>
  <c r="N27" i="1"/>
  <c r="K28" i="1"/>
  <c r="M27" i="1"/>
  <c r="L27" i="1"/>
  <c r="P28" i="1" l="1"/>
  <c r="O27" i="1"/>
  <c r="Q27" i="1" s="1"/>
  <c r="U27" i="1"/>
  <c r="S27" i="1"/>
  <c r="T27" i="1" s="1"/>
  <c r="N28" i="1"/>
  <c r="K29" i="1"/>
  <c r="M28" i="1"/>
  <c r="L28" i="1"/>
  <c r="P29" i="1" l="1"/>
  <c r="O28" i="1"/>
  <c r="Q28" i="1" s="1"/>
  <c r="U28" i="1"/>
  <c r="S28" i="1"/>
  <c r="T28" i="1" s="1"/>
  <c r="N29" i="1"/>
  <c r="K30" i="1"/>
  <c r="M29" i="1"/>
  <c r="L29" i="1"/>
  <c r="P30" i="1" l="1"/>
  <c r="O29" i="1"/>
  <c r="Q29" i="1" s="1"/>
  <c r="U29" i="1"/>
  <c r="S29" i="1"/>
  <c r="T29" i="1" s="1"/>
  <c r="N30" i="1"/>
  <c r="K31" i="1"/>
  <c r="L30" i="1"/>
  <c r="M30" i="1"/>
  <c r="P31" i="1" l="1"/>
  <c r="O30" i="1"/>
  <c r="Q30" i="1" s="1"/>
  <c r="U30" i="1"/>
  <c r="S30" i="1"/>
  <c r="T30" i="1" s="1"/>
  <c r="N31" i="1"/>
  <c r="K32" i="1"/>
  <c r="M31" i="1"/>
  <c r="L31" i="1"/>
  <c r="P32" i="1" l="1"/>
  <c r="O31" i="1"/>
  <c r="Q31" i="1" s="1"/>
  <c r="U31" i="1"/>
  <c r="S31" i="1"/>
  <c r="T31" i="1" s="1"/>
  <c r="N32" i="1"/>
  <c r="K33" i="1"/>
  <c r="M32" i="1"/>
  <c r="L32" i="1"/>
  <c r="P33" i="1" l="1"/>
  <c r="O32" i="1"/>
  <c r="Q32" i="1" s="1"/>
  <c r="U32" i="1"/>
  <c r="S32" i="1"/>
  <c r="T32" i="1" s="1"/>
  <c r="N33" i="1"/>
  <c r="K34" i="1"/>
  <c r="M33" i="1"/>
  <c r="L33" i="1"/>
  <c r="P34" i="1" l="1"/>
  <c r="O33" i="1"/>
  <c r="Q33" i="1" s="1"/>
  <c r="U33" i="1"/>
  <c r="S33" i="1"/>
  <c r="T33" i="1" s="1"/>
  <c r="N34" i="1"/>
  <c r="K35" i="1"/>
  <c r="L34" i="1"/>
  <c r="M34" i="1"/>
  <c r="P35" i="1" l="1"/>
  <c r="O34" i="1"/>
  <c r="Q34" i="1" s="1"/>
  <c r="U34" i="1"/>
  <c r="S34" i="1"/>
  <c r="T34" i="1" s="1"/>
  <c r="N35" i="1"/>
  <c r="K36" i="1"/>
  <c r="M35" i="1"/>
  <c r="L35" i="1"/>
  <c r="P36" i="1" l="1"/>
  <c r="O35" i="1"/>
  <c r="Q35" i="1" s="1"/>
  <c r="U35" i="1"/>
  <c r="S35" i="1"/>
  <c r="T35" i="1" s="1"/>
  <c r="N36" i="1"/>
  <c r="K37" i="1"/>
  <c r="M36" i="1"/>
  <c r="L36" i="1"/>
  <c r="P37" i="1" l="1"/>
  <c r="O36" i="1"/>
  <c r="Q36" i="1" s="1"/>
  <c r="U36" i="1"/>
  <c r="S36" i="1"/>
  <c r="T36" i="1" s="1"/>
  <c r="N37" i="1"/>
  <c r="K38" i="1"/>
  <c r="M37" i="1"/>
  <c r="L37" i="1"/>
  <c r="P38" i="1" l="1"/>
  <c r="O37" i="1"/>
  <c r="Q37" i="1" s="1"/>
  <c r="U37" i="1"/>
  <c r="S37" i="1"/>
  <c r="T37" i="1" s="1"/>
  <c r="N38" i="1"/>
  <c r="K39" i="1"/>
  <c r="M38" i="1"/>
  <c r="L38" i="1"/>
  <c r="P39" i="1" l="1"/>
  <c r="O38" i="1"/>
  <c r="Q38" i="1" s="1"/>
  <c r="U38" i="1"/>
  <c r="S38" i="1"/>
  <c r="T38" i="1" s="1"/>
  <c r="N39" i="1"/>
  <c r="K40" i="1"/>
  <c r="M39" i="1"/>
  <c r="L39" i="1"/>
  <c r="P40" i="1" l="1"/>
  <c r="O39" i="1"/>
  <c r="Q39" i="1" s="1"/>
  <c r="U39" i="1"/>
  <c r="S39" i="1"/>
  <c r="T39" i="1" s="1"/>
  <c r="N40" i="1"/>
  <c r="K41" i="1"/>
  <c r="M40" i="1"/>
  <c r="L40" i="1"/>
  <c r="P41" i="1" l="1"/>
  <c r="O40" i="1"/>
  <c r="Q40" i="1" s="1"/>
  <c r="U40" i="1"/>
  <c r="S40" i="1"/>
  <c r="T40" i="1" s="1"/>
  <c r="N41" i="1"/>
  <c r="K42" i="1"/>
  <c r="M41" i="1"/>
  <c r="L41" i="1"/>
  <c r="P42" i="1" l="1"/>
  <c r="O41" i="1"/>
  <c r="Q41" i="1" s="1"/>
  <c r="U41" i="1"/>
  <c r="S41" i="1"/>
  <c r="T41" i="1" s="1"/>
  <c r="N42" i="1"/>
  <c r="K43" i="1"/>
  <c r="L42" i="1"/>
  <c r="M42" i="1"/>
  <c r="P43" i="1" l="1"/>
  <c r="O42" i="1"/>
  <c r="Q42" i="1" s="1"/>
  <c r="U42" i="1"/>
  <c r="S42" i="1"/>
  <c r="T42" i="1" s="1"/>
  <c r="N43" i="1"/>
  <c r="K44" i="1"/>
  <c r="M43" i="1"/>
  <c r="L43" i="1"/>
  <c r="P44" i="1" l="1"/>
  <c r="O43" i="1"/>
  <c r="Q43" i="1" s="1"/>
  <c r="U43" i="1"/>
  <c r="S43" i="1"/>
  <c r="T43" i="1" s="1"/>
  <c r="N44" i="1"/>
  <c r="K45" i="1"/>
  <c r="M44" i="1"/>
  <c r="L44" i="1"/>
  <c r="P45" i="1" l="1"/>
  <c r="O44" i="1"/>
  <c r="Q44" i="1" s="1"/>
  <c r="U44" i="1"/>
  <c r="S44" i="1"/>
  <c r="T44" i="1" s="1"/>
  <c r="N45" i="1"/>
  <c r="K46" i="1"/>
  <c r="M45" i="1"/>
  <c r="L45" i="1"/>
  <c r="P46" i="1" l="1"/>
  <c r="O45" i="1"/>
  <c r="Q45" i="1" s="1"/>
  <c r="U45" i="1"/>
  <c r="S45" i="1"/>
  <c r="T45" i="1" s="1"/>
  <c r="N46" i="1"/>
  <c r="K47" i="1"/>
  <c r="L46" i="1"/>
  <c r="M46" i="1"/>
  <c r="P47" i="1" l="1"/>
  <c r="O46" i="1"/>
  <c r="Q46" i="1" s="1"/>
  <c r="U46" i="1"/>
  <c r="S46" i="1"/>
  <c r="T46" i="1" s="1"/>
  <c r="N47" i="1"/>
  <c r="K48" i="1"/>
  <c r="M47" i="1"/>
  <c r="L47" i="1"/>
  <c r="P48" i="1" l="1"/>
  <c r="O47" i="1"/>
  <c r="Q47" i="1" s="1"/>
  <c r="U47" i="1"/>
  <c r="S47" i="1"/>
  <c r="T47" i="1" s="1"/>
  <c r="N48" i="1"/>
  <c r="K49" i="1"/>
  <c r="M48" i="1"/>
  <c r="L48" i="1"/>
  <c r="P49" i="1" l="1"/>
  <c r="O48" i="1"/>
  <c r="Q48" i="1" s="1"/>
  <c r="U48" i="1"/>
  <c r="S48" i="1"/>
  <c r="T48" i="1" s="1"/>
  <c r="N49" i="1"/>
  <c r="K50" i="1"/>
  <c r="L49" i="1"/>
  <c r="M49" i="1"/>
  <c r="P50" i="1" l="1"/>
  <c r="O49" i="1"/>
  <c r="Q49" i="1" s="1"/>
  <c r="U49" i="1"/>
  <c r="S49" i="1"/>
  <c r="T49" i="1" s="1"/>
  <c r="N50" i="1"/>
  <c r="K51" i="1"/>
  <c r="L50" i="1"/>
  <c r="M50" i="1"/>
  <c r="P51" i="1" l="1"/>
  <c r="O50" i="1"/>
  <c r="Q50" i="1" s="1"/>
  <c r="U50" i="1"/>
  <c r="S50" i="1"/>
  <c r="T50" i="1" s="1"/>
  <c r="N51" i="1"/>
  <c r="K52" i="1"/>
  <c r="M51" i="1"/>
  <c r="L51" i="1"/>
  <c r="P52" i="1" l="1"/>
  <c r="O51" i="1"/>
  <c r="Q51" i="1" s="1"/>
  <c r="U51" i="1"/>
  <c r="S51" i="1"/>
  <c r="T51" i="1" s="1"/>
  <c r="N52" i="1"/>
  <c r="K53" i="1"/>
  <c r="M52" i="1"/>
  <c r="L52" i="1"/>
  <c r="P53" i="1" l="1"/>
  <c r="O52" i="1"/>
  <c r="Q52" i="1" s="1"/>
  <c r="U52" i="1"/>
  <c r="S52" i="1"/>
  <c r="T52" i="1" s="1"/>
  <c r="N53" i="1"/>
  <c r="S53" i="1" s="1"/>
  <c r="T53" i="1" s="1"/>
  <c r="U53" i="1" s="1"/>
  <c r="K54" i="1"/>
  <c r="M53" i="1"/>
  <c r="L53" i="1"/>
  <c r="P54" i="1" l="1"/>
  <c r="O53" i="1"/>
  <c r="Q53" i="1" s="1"/>
  <c r="N54" i="1"/>
  <c r="S54" i="1" s="1"/>
  <c r="T54" i="1" s="1"/>
  <c r="U54" i="1" s="1"/>
  <c r="K55" i="1"/>
  <c r="L54" i="1"/>
  <c r="M54" i="1"/>
  <c r="P55" i="1" l="1"/>
  <c r="O54" i="1"/>
  <c r="Q54" i="1" s="1"/>
  <c r="N55" i="1"/>
  <c r="S55" i="1" s="1"/>
  <c r="T55" i="1" s="1"/>
  <c r="U55" i="1" s="1"/>
  <c r="K56" i="1"/>
  <c r="M55" i="1"/>
  <c r="L55" i="1"/>
  <c r="P56" i="1" l="1"/>
  <c r="O55" i="1"/>
  <c r="Q55" i="1" s="1"/>
  <c r="N56" i="1"/>
  <c r="S56" i="1" s="1"/>
  <c r="T56" i="1" s="1"/>
  <c r="U56" i="1" s="1"/>
  <c r="K57" i="1"/>
  <c r="M56" i="1"/>
  <c r="L56" i="1"/>
  <c r="P57" i="1" l="1"/>
  <c r="O56" i="1"/>
  <c r="Q56" i="1" s="1"/>
  <c r="N57" i="1"/>
  <c r="S57" i="1" s="1"/>
  <c r="T57" i="1" s="1"/>
  <c r="U57" i="1" s="1"/>
  <c r="K58" i="1"/>
  <c r="L57" i="1"/>
  <c r="M57" i="1"/>
  <c r="P58" i="1" l="1"/>
  <c r="O57" i="1"/>
  <c r="Q57" i="1" s="1"/>
  <c r="N58" i="1"/>
  <c r="S58" i="1" s="1"/>
  <c r="T58" i="1" s="1"/>
  <c r="U58" i="1" s="1"/>
  <c r="K59" i="1"/>
  <c r="L58" i="1"/>
  <c r="M58" i="1"/>
  <c r="P59" i="1" l="1"/>
  <c r="O58" i="1"/>
  <c r="Q58" i="1" s="1"/>
  <c r="N59" i="1"/>
  <c r="S59" i="1" s="1"/>
  <c r="T59" i="1" s="1"/>
  <c r="U59" i="1" s="1"/>
  <c r="K60" i="1"/>
  <c r="L59" i="1"/>
  <c r="M59" i="1"/>
  <c r="P60" i="1" l="1"/>
  <c r="O59" i="1"/>
  <c r="Q59" i="1" s="1"/>
  <c r="N60" i="1"/>
  <c r="S60" i="1" s="1"/>
  <c r="T60" i="1" s="1"/>
  <c r="U60" i="1" s="1"/>
  <c r="K61" i="1"/>
  <c r="L60" i="1"/>
  <c r="M60" i="1"/>
  <c r="P61" i="1" l="1"/>
  <c r="O60" i="1"/>
  <c r="Q60" i="1" s="1"/>
  <c r="N61" i="1"/>
  <c r="S61" i="1" s="1"/>
  <c r="T61" i="1" s="1"/>
  <c r="U61" i="1" s="1"/>
  <c r="K62" i="1"/>
  <c r="M61" i="1"/>
  <c r="L61" i="1"/>
  <c r="P62" i="1" l="1"/>
  <c r="O61" i="1"/>
  <c r="Q61" i="1" s="1"/>
  <c r="N62" i="1"/>
  <c r="S62" i="1" s="1"/>
  <c r="T62" i="1" s="1"/>
  <c r="U62" i="1" s="1"/>
  <c r="K63" i="1"/>
  <c r="L62" i="1"/>
  <c r="M62" i="1"/>
  <c r="P63" i="1" l="1"/>
  <c r="O62" i="1"/>
  <c r="Q62" i="1" s="1"/>
  <c r="N63" i="1"/>
  <c r="K64" i="1"/>
  <c r="L63" i="1"/>
  <c r="M63" i="1"/>
  <c r="P64" i="1" l="1"/>
  <c r="O63" i="1"/>
  <c r="Q63" i="1" s="1"/>
  <c r="S64" i="1"/>
  <c r="T64" i="1" s="1"/>
  <c r="U63" i="1"/>
  <c r="S63" i="1"/>
  <c r="T63" i="1" s="1"/>
  <c r="N64" i="1"/>
  <c r="K65" i="1"/>
  <c r="L64" i="1"/>
  <c r="M64" i="1"/>
  <c r="Q64" i="1" l="1"/>
  <c r="P65" i="1"/>
  <c r="U64" i="1"/>
  <c r="O64" i="1"/>
  <c r="S65" i="1"/>
  <c r="T65" i="1" s="1"/>
  <c r="N65" i="1"/>
  <c r="K66" i="1"/>
  <c r="L65" i="1"/>
  <c r="M65" i="1"/>
  <c r="P66" i="1" l="1"/>
  <c r="O65" i="1"/>
  <c r="Q65" i="1" s="1"/>
  <c r="S66" i="1"/>
  <c r="T66" i="1" s="1"/>
  <c r="U65" i="1"/>
  <c r="N66" i="1"/>
  <c r="K67" i="1"/>
  <c r="L66" i="1"/>
  <c r="M66" i="1"/>
  <c r="P67" i="1" l="1"/>
  <c r="U66" i="1"/>
  <c r="S67" i="1"/>
  <c r="T67" i="1" s="1"/>
  <c r="O66" i="1"/>
  <c r="Q66" i="1" s="1"/>
  <c r="N67" i="1"/>
  <c r="K68" i="1"/>
  <c r="M67" i="1"/>
  <c r="L67" i="1"/>
  <c r="P68" i="1" l="1"/>
  <c r="U67" i="1"/>
  <c r="S68" i="1"/>
  <c r="T68" i="1" s="1"/>
  <c r="O67" i="1"/>
  <c r="Q67" i="1" s="1"/>
  <c r="N68" i="1"/>
  <c r="K69" i="1"/>
  <c r="M68" i="1"/>
  <c r="L68" i="1"/>
  <c r="P69" i="1" l="1"/>
  <c r="U68" i="1"/>
  <c r="S69" i="1"/>
  <c r="T69" i="1" s="1"/>
  <c r="O68" i="1"/>
  <c r="Q68" i="1" s="1"/>
  <c r="N69" i="1"/>
  <c r="K70" i="1"/>
  <c r="M69" i="1"/>
  <c r="L69" i="1"/>
  <c r="P70" i="1" l="1"/>
  <c r="U69" i="1"/>
  <c r="S70" i="1"/>
  <c r="T70" i="1" s="1"/>
  <c r="O69" i="1"/>
  <c r="Q69" i="1" s="1"/>
  <c r="N70" i="1"/>
  <c r="K71" i="1"/>
  <c r="L70" i="1"/>
  <c r="M70" i="1"/>
  <c r="P71" i="1" l="1"/>
  <c r="U70" i="1"/>
  <c r="O70" i="1"/>
  <c r="Q70" i="1" s="1"/>
  <c r="S71" i="1"/>
  <c r="T71" i="1" s="1"/>
  <c r="N71" i="1"/>
  <c r="K72" i="1"/>
  <c r="L71" i="1"/>
  <c r="M71" i="1"/>
  <c r="P72" i="1" l="1"/>
  <c r="O71" i="1"/>
  <c r="Q71" i="1" s="1"/>
  <c r="S72" i="1"/>
  <c r="T72" i="1" s="1"/>
  <c r="U71" i="1"/>
  <c r="N72" i="1"/>
  <c r="K73" i="1"/>
  <c r="L72" i="1"/>
  <c r="M72" i="1"/>
  <c r="P73" i="1" l="1"/>
  <c r="U72" i="1"/>
  <c r="S73" i="1"/>
  <c r="T73" i="1" s="1"/>
  <c r="O72" i="1"/>
  <c r="Q72" i="1" s="1"/>
  <c r="N73" i="1"/>
  <c r="K74" i="1"/>
  <c r="L73" i="1"/>
  <c r="M73" i="1"/>
  <c r="P74" i="1" l="1"/>
  <c r="U73" i="1"/>
  <c r="O73" i="1"/>
  <c r="Q73" i="1" s="1"/>
  <c r="S74" i="1"/>
  <c r="T74" i="1" s="1"/>
  <c r="N74" i="1"/>
  <c r="K75" i="1"/>
  <c r="M74" i="1"/>
  <c r="L74" i="1"/>
  <c r="P75" i="1" l="1"/>
  <c r="S75" i="1"/>
  <c r="T75" i="1" s="1"/>
  <c r="U74" i="1"/>
  <c r="O74" i="1"/>
  <c r="Q74" i="1" s="1"/>
  <c r="N75" i="1"/>
  <c r="K76" i="1"/>
  <c r="M75" i="1"/>
  <c r="L75" i="1"/>
  <c r="P76" i="1" l="1"/>
  <c r="U75" i="1"/>
  <c r="O75" i="1"/>
  <c r="Q75" i="1" s="1"/>
  <c r="S76" i="1"/>
  <c r="T76" i="1" s="1"/>
  <c r="N76" i="1"/>
  <c r="K77" i="1"/>
  <c r="M76" i="1"/>
  <c r="L76" i="1"/>
  <c r="P77" i="1" l="1"/>
  <c r="S77" i="1"/>
  <c r="T77" i="1" s="1"/>
  <c r="O76" i="1"/>
  <c r="Q76" i="1" s="1"/>
  <c r="U76" i="1"/>
  <c r="N77" i="1"/>
  <c r="K78" i="1"/>
  <c r="L77" i="1"/>
  <c r="M77" i="1"/>
  <c r="P78" i="1" l="1"/>
  <c r="U77" i="1"/>
  <c r="O77" i="1"/>
  <c r="Q77" i="1" s="1"/>
  <c r="S78" i="1"/>
  <c r="T78" i="1" s="1"/>
  <c r="N78" i="1"/>
  <c r="K79" i="1"/>
  <c r="M78" i="1"/>
  <c r="L78" i="1"/>
  <c r="P79" i="1" l="1"/>
  <c r="U78" i="1"/>
  <c r="O78" i="1"/>
  <c r="Q78" i="1" s="1"/>
  <c r="S79" i="1"/>
  <c r="T79" i="1" s="1"/>
  <c r="N79" i="1"/>
  <c r="K80" i="1"/>
  <c r="L79" i="1"/>
  <c r="M79" i="1"/>
  <c r="P80" i="1" l="1"/>
  <c r="U79" i="1"/>
  <c r="O79" i="1"/>
  <c r="Q79" i="1" s="1"/>
  <c r="S80" i="1"/>
  <c r="T80" i="1" s="1"/>
  <c r="N80" i="1"/>
  <c r="K81" i="1"/>
  <c r="M80" i="1"/>
  <c r="L80" i="1"/>
  <c r="P81" i="1" l="1"/>
  <c r="U80" i="1"/>
  <c r="O80" i="1"/>
  <c r="Q80" i="1" s="1"/>
  <c r="S81" i="1"/>
  <c r="T81" i="1" s="1"/>
  <c r="N81" i="1"/>
  <c r="K82" i="1"/>
  <c r="L81" i="1"/>
  <c r="M81" i="1"/>
  <c r="P82" i="1" l="1"/>
  <c r="U81" i="1"/>
  <c r="O81" i="1"/>
  <c r="Q81" i="1" s="1"/>
  <c r="S82" i="1"/>
  <c r="T82" i="1" s="1"/>
  <c r="N82" i="1"/>
  <c r="K83" i="1"/>
  <c r="L82" i="1"/>
  <c r="M82" i="1"/>
  <c r="P83" i="1" l="1"/>
  <c r="U82" i="1"/>
  <c r="O82" i="1"/>
  <c r="Q82" i="1" s="1"/>
  <c r="S83" i="1"/>
  <c r="T83" i="1" s="1"/>
  <c r="N83" i="1"/>
  <c r="K84" i="1"/>
  <c r="L83" i="1"/>
  <c r="M83" i="1"/>
  <c r="P84" i="1" l="1"/>
  <c r="U83" i="1"/>
  <c r="O83" i="1"/>
  <c r="Q83" i="1" s="1"/>
  <c r="S84" i="1"/>
  <c r="T84" i="1" s="1"/>
  <c r="N84" i="1"/>
  <c r="K85" i="1"/>
  <c r="M84" i="1"/>
  <c r="L84" i="1"/>
  <c r="Q84" i="1" l="1"/>
  <c r="P85" i="1"/>
  <c r="U84" i="1"/>
  <c r="O84" i="1"/>
  <c r="S85" i="1"/>
  <c r="T85" i="1" s="1"/>
  <c r="N85" i="1"/>
  <c r="K86" i="1"/>
  <c r="L85" i="1"/>
  <c r="M85" i="1"/>
  <c r="Q85" i="1" l="1"/>
  <c r="P86" i="1"/>
  <c r="U85" i="1"/>
  <c r="O85" i="1"/>
  <c r="S86" i="1"/>
  <c r="T86" i="1" s="1"/>
  <c r="N86" i="1"/>
  <c r="K87" i="1"/>
  <c r="L86" i="1"/>
  <c r="M86" i="1"/>
  <c r="Q86" i="1" l="1"/>
  <c r="P87" i="1"/>
  <c r="U86" i="1"/>
  <c r="O86" i="1"/>
  <c r="S87" i="1"/>
  <c r="T87" i="1" s="1"/>
  <c r="N87" i="1"/>
  <c r="K88" i="1"/>
  <c r="L87" i="1"/>
  <c r="M87" i="1"/>
  <c r="Q87" i="1" l="1"/>
  <c r="P88" i="1"/>
  <c r="U87" i="1"/>
  <c r="O87" i="1"/>
  <c r="S88" i="1"/>
  <c r="T88" i="1" s="1"/>
  <c r="N88" i="1"/>
  <c r="K89" i="1"/>
  <c r="M88" i="1"/>
  <c r="L88" i="1"/>
  <c r="Q88" i="1" l="1"/>
  <c r="P89" i="1"/>
  <c r="U88" i="1"/>
  <c r="O88" i="1"/>
  <c r="S89" i="1"/>
  <c r="T89" i="1" s="1"/>
  <c r="N89" i="1"/>
  <c r="K90" i="1"/>
  <c r="L89" i="1"/>
  <c r="M89" i="1"/>
  <c r="Q89" i="1" l="1"/>
  <c r="P90" i="1"/>
  <c r="U89" i="1"/>
  <c r="O89" i="1"/>
  <c r="S90" i="1"/>
  <c r="T90" i="1" s="1"/>
  <c r="N90" i="1"/>
  <c r="K91" i="1"/>
  <c r="L90" i="1"/>
  <c r="M90" i="1"/>
  <c r="Q90" i="1" l="1"/>
  <c r="P91" i="1"/>
  <c r="U90" i="1"/>
  <c r="O90" i="1"/>
  <c r="S91" i="1"/>
  <c r="T91" i="1" s="1"/>
  <c r="N91" i="1"/>
  <c r="K92" i="1"/>
  <c r="L91" i="1"/>
  <c r="M91" i="1"/>
  <c r="Q91" i="1" l="1"/>
  <c r="P92" i="1"/>
  <c r="U91" i="1"/>
  <c r="O91" i="1"/>
  <c r="S92" i="1"/>
  <c r="T92" i="1" s="1"/>
  <c r="N92" i="1"/>
  <c r="K93" i="1"/>
  <c r="M92" i="1"/>
  <c r="L92" i="1"/>
  <c r="Q92" i="1" l="1"/>
  <c r="P93" i="1"/>
  <c r="U92" i="1"/>
  <c r="O92" i="1"/>
  <c r="N93" i="1"/>
  <c r="S93" i="1" s="1"/>
  <c r="T93" i="1" s="1"/>
  <c r="U93" i="1" s="1"/>
  <c r="K94" i="1"/>
  <c r="L93" i="1"/>
  <c r="M93" i="1"/>
  <c r="P94" i="1" l="1"/>
  <c r="O93" i="1"/>
  <c r="Q93" i="1" s="1"/>
  <c r="N94" i="1"/>
  <c r="S94" i="1" s="1"/>
  <c r="T94" i="1" s="1"/>
  <c r="U94" i="1" s="1"/>
  <c r="K95" i="1"/>
  <c r="M94" i="1"/>
  <c r="L94" i="1"/>
  <c r="P95" i="1" l="1"/>
  <c r="O94" i="1"/>
  <c r="Q94" i="1" s="1"/>
  <c r="N95" i="1"/>
  <c r="S95" i="1" s="1"/>
  <c r="T95" i="1" s="1"/>
  <c r="U95" i="1" s="1"/>
  <c r="K96" i="1"/>
  <c r="L95" i="1"/>
  <c r="M95" i="1"/>
  <c r="P96" i="1" l="1"/>
  <c r="O95" i="1"/>
  <c r="Q95" i="1" s="1"/>
  <c r="N96" i="1"/>
  <c r="S96" i="1" s="1"/>
  <c r="T96" i="1" s="1"/>
  <c r="U96" i="1" s="1"/>
  <c r="K97" i="1"/>
  <c r="L96" i="1"/>
  <c r="M96" i="1"/>
  <c r="P97" i="1" l="1"/>
  <c r="O96" i="1"/>
  <c r="Q96" i="1" s="1"/>
  <c r="N97" i="1"/>
  <c r="S97" i="1" s="1"/>
  <c r="T97" i="1" s="1"/>
  <c r="U97" i="1" s="1"/>
  <c r="K98" i="1"/>
  <c r="L97" i="1"/>
  <c r="M97" i="1"/>
  <c r="P98" i="1" l="1"/>
  <c r="O97" i="1"/>
  <c r="Q97" i="1" s="1"/>
  <c r="N98" i="1"/>
  <c r="S98" i="1" s="1"/>
  <c r="T98" i="1" s="1"/>
  <c r="U98" i="1" s="1"/>
  <c r="K99" i="1"/>
  <c r="M98" i="1"/>
  <c r="L98" i="1"/>
  <c r="P99" i="1" l="1"/>
  <c r="O98" i="1"/>
  <c r="Q98" i="1" s="1"/>
  <c r="N99" i="1"/>
  <c r="S99" i="1" s="1"/>
  <c r="T99" i="1" s="1"/>
  <c r="U99" i="1" s="1"/>
  <c r="K100" i="1"/>
  <c r="L99" i="1"/>
  <c r="M99" i="1"/>
  <c r="P100" i="1" l="1"/>
  <c r="O99" i="1"/>
  <c r="Q99" i="1" s="1"/>
  <c r="N100" i="1"/>
  <c r="S100" i="1" s="1"/>
  <c r="T100" i="1" s="1"/>
  <c r="U100" i="1" s="1"/>
  <c r="K101" i="1"/>
  <c r="M100" i="1"/>
  <c r="L100" i="1"/>
  <c r="P101" i="1" l="1"/>
  <c r="O100" i="1"/>
  <c r="Q100" i="1" s="1"/>
  <c r="N101" i="1"/>
  <c r="S101" i="1" s="1"/>
  <c r="T101" i="1" s="1"/>
  <c r="U101" i="1" s="1"/>
  <c r="K102" i="1"/>
  <c r="L101" i="1"/>
  <c r="M101" i="1"/>
  <c r="P102" i="1" l="1"/>
  <c r="O101" i="1"/>
  <c r="Q101" i="1" s="1"/>
  <c r="K103" i="1"/>
  <c r="N102" i="1"/>
  <c r="S102" i="1" s="1"/>
  <c r="T102" i="1" s="1"/>
  <c r="U102" i="1" s="1"/>
  <c r="L103" i="1"/>
  <c r="M102" i="1"/>
  <c r="L102" i="1"/>
  <c r="P103" i="1" l="1"/>
  <c r="O102" i="1"/>
  <c r="Q102" i="1" s="1"/>
  <c r="S103" i="1"/>
  <c r="T103" i="1" s="1"/>
  <c r="M103" i="1"/>
  <c r="N103" i="1"/>
  <c r="K104" i="1"/>
  <c r="P104" i="1" l="1"/>
  <c r="U103" i="1"/>
  <c r="L104" i="1"/>
  <c r="K105" i="1"/>
  <c r="M104" i="1"/>
  <c r="S105" i="1"/>
  <c r="T105" i="1" s="1"/>
  <c r="S104" i="1"/>
  <c r="T104" i="1" s="1"/>
  <c r="O103" i="1"/>
  <c r="Q103" i="1" s="1"/>
  <c r="O104" i="1"/>
  <c r="N104" i="1"/>
  <c r="Q104" i="1" l="1"/>
  <c r="K106" i="1"/>
  <c r="U104" i="1"/>
  <c r="P106" i="1"/>
  <c r="P105" i="1"/>
  <c r="N105" i="1"/>
  <c r="U105" i="1" s="1"/>
  <c r="M105" i="1"/>
  <c r="O105" i="1" s="1"/>
  <c r="L105" i="1"/>
  <c r="S106" i="1"/>
  <c r="T106" i="1" s="1"/>
  <c r="N106" i="1"/>
  <c r="K107" i="1"/>
  <c r="L106" i="1"/>
  <c r="M106" i="1"/>
  <c r="Q105" i="1" l="1"/>
  <c r="P107" i="1"/>
  <c r="U106" i="1"/>
  <c r="O106" i="1"/>
  <c r="Q106" i="1" s="1"/>
  <c r="S107" i="1"/>
  <c r="T107" i="1" s="1"/>
  <c r="N107" i="1"/>
  <c r="K108" i="1"/>
  <c r="L107" i="1"/>
  <c r="M107" i="1"/>
  <c r="P108" i="1" l="1"/>
  <c r="O107" i="1"/>
  <c r="Q107" i="1" s="1"/>
  <c r="S108" i="1"/>
  <c r="T108" i="1" s="1"/>
  <c r="U107" i="1"/>
  <c r="N108" i="1"/>
  <c r="L108" i="1"/>
  <c r="M108" i="1"/>
  <c r="K109" i="1"/>
  <c r="P109" i="1" l="1"/>
  <c r="U108" i="1"/>
  <c r="S109" i="1"/>
  <c r="T109" i="1" s="1"/>
  <c r="O108" i="1"/>
  <c r="Q108" i="1" s="1"/>
  <c r="N109" i="1"/>
  <c r="L109" i="1"/>
  <c r="K110" i="1"/>
  <c r="M109" i="1"/>
  <c r="P110" i="1" l="1"/>
  <c r="U109" i="1"/>
  <c r="O109" i="1"/>
  <c r="Q109" i="1" s="1"/>
  <c r="S110" i="1"/>
  <c r="T110" i="1" s="1"/>
  <c r="N110" i="1"/>
  <c r="L110" i="1"/>
  <c r="M110" i="1"/>
  <c r="K111" i="1"/>
  <c r="P111" i="1" l="1"/>
  <c r="S111" i="1"/>
  <c r="T111" i="1" s="1"/>
  <c r="U110" i="1"/>
  <c r="O110" i="1"/>
  <c r="Q110" i="1" s="1"/>
  <c r="N111" i="1"/>
  <c r="L111" i="1"/>
  <c r="K112" i="1"/>
  <c r="M111" i="1"/>
  <c r="P112" i="1" l="1"/>
  <c r="U111" i="1"/>
  <c r="S112" i="1"/>
  <c r="T112" i="1" s="1"/>
  <c r="O111" i="1"/>
  <c r="Q111" i="1" s="1"/>
  <c r="N112" i="1"/>
  <c r="L112" i="1"/>
  <c r="M112" i="1"/>
  <c r="K113" i="1"/>
  <c r="P113" i="1" l="1"/>
  <c r="U112" i="1"/>
  <c r="O112" i="1"/>
  <c r="Q112" i="1" s="1"/>
  <c r="S113" i="1"/>
  <c r="T113" i="1" s="1"/>
  <c r="N113" i="1"/>
  <c r="L113" i="1"/>
  <c r="K114" i="1"/>
  <c r="M113" i="1"/>
  <c r="P114" i="1" l="1"/>
  <c r="U113" i="1"/>
  <c r="S114" i="1"/>
  <c r="T114" i="1" s="1"/>
  <c r="O113" i="1"/>
  <c r="Q113" i="1" s="1"/>
  <c r="N114" i="1"/>
  <c r="L114" i="1"/>
  <c r="M114" i="1"/>
  <c r="K115" i="1"/>
  <c r="P115" i="1" l="1"/>
  <c r="U114" i="1"/>
  <c r="O114" i="1"/>
  <c r="Q114" i="1" s="1"/>
  <c r="S115" i="1"/>
  <c r="T115" i="1" s="1"/>
  <c r="N115" i="1"/>
  <c r="L115" i="1"/>
  <c r="K116" i="1"/>
  <c r="M115" i="1"/>
  <c r="P116" i="1" l="1"/>
  <c r="U115" i="1"/>
  <c r="O115" i="1"/>
  <c r="Q115" i="1" s="1"/>
  <c r="S116" i="1"/>
  <c r="T116" i="1" s="1"/>
  <c r="N116" i="1"/>
  <c r="L116" i="1"/>
  <c r="M116" i="1"/>
  <c r="K117" i="1"/>
  <c r="P117" i="1" l="1"/>
  <c r="S117" i="1"/>
  <c r="T117" i="1" s="1"/>
  <c r="U116" i="1"/>
  <c r="O116" i="1"/>
  <c r="Q116" i="1" s="1"/>
  <c r="N117" i="1"/>
  <c r="L117" i="1"/>
  <c r="K118" i="1"/>
  <c r="M117" i="1"/>
  <c r="P118" i="1" l="1"/>
  <c r="U117" i="1"/>
  <c r="S118" i="1"/>
  <c r="T118" i="1" s="1"/>
  <c r="O117" i="1"/>
  <c r="Q117" i="1" s="1"/>
  <c r="N118" i="1"/>
  <c r="L118" i="1"/>
  <c r="M118" i="1"/>
  <c r="K119" i="1"/>
  <c r="Q118" i="1" l="1"/>
  <c r="U118" i="1"/>
  <c r="P119" i="1"/>
  <c r="O118" i="1"/>
  <c r="S119" i="1"/>
  <c r="T119" i="1" s="1"/>
  <c r="N119" i="1"/>
  <c r="L119" i="1"/>
  <c r="K120" i="1"/>
  <c r="M119" i="1"/>
  <c r="P120" i="1" l="1"/>
  <c r="U119" i="1"/>
  <c r="S120" i="1"/>
  <c r="T120" i="1" s="1"/>
  <c r="O119" i="1"/>
  <c r="Q119" i="1" s="1"/>
  <c r="N120" i="1"/>
  <c r="L120" i="1"/>
  <c r="K121" i="1"/>
  <c r="M120" i="1"/>
  <c r="P121" i="1" l="1"/>
  <c r="U120" i="1"/>
  <c r="O120" i="1"/>
  <c r="Q120" i="1" s="1"/>
  <c r="S121" i="1"/>
  <c r="T121" i="1" s="1"/>
  <c r="N121" i="1"/>
  <c r="L121" i="1"/>
  <c r="M121" i="1"/>
  <c r="K122" i="1"/>
  <c r="P122" i="1" l="1"/>
  <c r="U121" i="1"/>
  <c r="O121" i="1"/>
  <c r="Q121" i="1" s="1"/>
  <c r="S122" i="1"/>
  <c r="T122" i="1" s="1"/>
  <c r="N122" i="1"/>
  <c r="L122" i="1"/>
  <c r="K123" i="1"/>
  <c r="M122" i="1"/>
  <c r="P123" i="1" l="1"/>
  <c r="U122" i="1"/>
  <c r="S123" i="1"/>
  <c r="T123" i="1" s="1"/>
  <c r="O122" i="1"/>
  <c r="Q122" i="1" s="1"/>
  <c r="N123" i="1"/>
  <c r="L123" i="1"/>
  <c r="M123" i="1"/>
  <c r="K124" i="1"/>
  <c r="P124" i="1" l="1"/>
  <c r="U123" i="1"/>
  <c r="O123" i="1"/>
  <c r="Q123" i="1" s="1"/>
  <c r="S124" i="1"/>
  <c r="T124" i="1" s="1"/>
  <c r="N124" i="1"/>
  <c r="L124" i="1"/>
  <c r="K125" i="1"/>
  <c r="M124" i="1"/>
  <c r="P125" i="1" l="1"/>
  <c r="U124" i="1"/>
  <c r="S125" i="1"/>
  <c r="T125" i="1" s="1"/>
  <c r="O124" i="1"/>
  <c r="Q124" i="1" s="1"/>
  <c r="N125" i="1"/>
  <c r="L125" i="1"/>
  <c r="M125" i="1"/>
  <c r="K126" i="1"/>
  <c r="Q125" i="1" l="1"/>
  <c r="P126" i="1"/>
  <c r="U125" i="1"/>
  <c r="O125" i="1"/>
  <c r="S126" i="1"/>
  <c r="T126" i="1" s="1"/>
  <c r="N126" i="1"/>
  <c r="L126" i="1"/>
  <c r="M126" i="1"/>
  <c r="K127" i="1"/>
  <c r="Q126" i="1" l="1"/>
  <c r="P127" i="1"/>
  <c r="U126" i="1"/>
  <c r="O126" i="1"/>
  <c r="S127" i="1"/>
  <c r="T127" i="1" s="1"/>
  <c r="N127" i="1"/>
  <c r="M127" i="1"/>
  <c r="K128" i="1"/>
  <c r="L127" i="1"/>
  <c r="P128" i="1" l="1"/>
  <c r="U127" i="1"/>
  <c r="S128" i="1"/>
  <c r="T128" i="1" s="1"/>
  <c r="O127" i="1"/>
  <c r="Q127" i="1" s="1"/>
  <c r="N128" i="1"/>
  <c r="M128" i="1"/>
  <c r="K129" i="1"/>
  <c r="L128" i="1"/>
  <c r="Q128" i="1" l="1"/>
  <c r="P129" i="1"/>
  <c r="U128" i="1"/>
  <c r="O128" i="1"/>
  <c r="S129" i="1"/>
  <c r="T129" i="1" s="1"/>
  <c r="N129" i="1"/>
  <c r="M129" i="1"/>
  <c r="K130" i="1"/>
  <c r="L129" i="1"/>
  <c r="P130" i="1" l="1"/>
  <c r="O129" i="1"/>
  <c r="Q129" i="1" s="1"/>
  <c r="U129" i="1"/>
  <c r="S130" i="1"/>
  <c r="T130" i="1" s="1"/>
  <c r="N130" i="1"/>
  <c r="M130" i="1"/>
  <c r="K131" i="1"/>
  <c r="L130" i="1"/>
  <c r="Q130" i="1" l="1"/>
  <c r="P131" i="1"/>
  <c r="U130" i="1"/>
  <c r="O130" i="1"/>
  <c r="S131" i="1"/>
  <c r="T131" i="1" s="1"/>
  <c r="N131" i="1"/>
  <c r="M131" i="1"/>
  <c r="K132" i="1"/>
  <c r="L131" i="1"/>
  <c r="P132" i="1" l="1"/>
  <c r="O131" i="1"/>
  <c r="Q131" i="1" s="1"/>
  <c r="U131" i="1"/>
  <c r="S132" i="1"/>
  <c r="T132" i="1" s="1"/>
  <c r="N132" i="1"/>
  <c r="M132" i="1"/>
  <c r="K133" i="1"/>
  <c r="L132" i="1"/>
  <c r="Q132" i="1" l="1"/>
  <c r="P133" i="1"/>
  <c r="U132" i="1"/>
  <c r="O132" i="1"/>
  <c r="N133" i="1"/>
  <c r="S133" i="1" s="1"/>
  <c r="T133" i="1" s="1"/>
  <c r="U133" i="1" s="1"/>
  <c r="M133" i="1"/>
  <c r="K134" i="1"/>
  <c r="L133" i="1"/>
  <c r="P134" i="1" l="1"/>
  <c r="O133" i="1"/>
  <c r="Q133" i="1" s="1"/>
  <c r="N134" i="1"/>
  <c r="S134" i="1" s="1"/>
  <c r="T134" i="1" s="1"/>
  <c r="U134" i="1" s="1"/>
  <c r="M134" i="1"/>
  <c r="K135" i="1"/>
  <c r="L134" i="1"/>
  <c r="P135" i="1" l="1"/>
  <c r="O134" i="1"/>
  <c r="Q134" i="1" s="1"/>
  <c r="N135" i="1"/>
  <c r="S135" i="1" s="1"/>
  <c r="T135" i="1" s="1"/>
  <c r="U135" i="1" s="1"/>
  <c r="M135" i="1"/>
  <c r="K136" i="1"/>
  <c r="L135" i="1"/>
  <c r="P136" i="1" l="1"/>
  <c r="O135" i="1"/>
  <c r="Q135" i="1" s="1"/>
  <c r="N136" i="1"/>
  <c r="S136" i="1" s="1"/>
  <c r="T136" i="1" s="1"/>
  <c r="U136" i="1" s="1"/>
  <c r="M136" i="1"/>
  <c r="K137" i="1"/>
  <c r="L136" i="1"/>
  <c r="P137" i="1" l="1"/>
  <c r="O136" i="1"/>
  <c r="Q136" i="1" s="1"/>
  <c r="N137" i="1"/>
  <c r="S137" i="1" s="1"/>
  <c r="T137" i="1" s="1"/>
  <c r="U137" i="1" s="1"/>
  <c r="M137" i="1"/>
  <c r="K138" i="1"/>
  <c r="L137" i="1"/>
  <c r="P138" i="1" l="1"/>
  <c r="O137" i="1"/>
  <c r="Q137" i="1" s="1"/>
  <c r="N138" i="1"/>
  <c r="S138" i="1" s="1"/>
  <c r="T138" i="1" s="1"/>
  <c r="U138" i="1" s="1"/>
  <c r="M138" i="1"/>
  <c r="K139" i="1"/>
  <c r="L138" i="1"/>
  <c r="P139" i="1" l="1"/>
  <c r="O138" i="1"/>
  <c r="Q138" i="1" s="1"/>
  <c r="N139" i="1"/>
  <c r="S139" i="1" s="1"/>
  <c r="T139" i="1" s="1"/>
  <c r="U139" i="1" s="1"/>
  <c r="M139" i="1"/>
  <c r="K140" i="1"/>
  <c r="L139" i="1"/>
  <c r="P140" i="1" l="1"/>
  <c r="O139" i="1"/>
  <c r="Q139" i="1" s="1"/>
  <c r="N140" i="1"/>
  <c r="S140" i="1" s="1"/>
  <c r="T140" i="1" s="1"/>
  <c r="U140" i="1" s="1"/>
  <c r="M140" i="1"/>
  <c r="K141" i="1"/>
  <c r="L140" i="1"/>
  <c r="P141" i="1" l="1"/>
  <c r="O140" i="1"/>
  <c r="Q140" i="1" s="1"/>
  <c r="N141" i="1"/>
  <c r="S141" i="1" s="1"/>
  <c r="T141" i="1" s="1"/>
  <c r="U141" i="1" s="1"/>
  <c r="M141" i="1"/>
  <c r="L141" i="1"/>
  <c r="K142" i="1"/>
  <c r="Q141" i="1" l="1"/>
  <c r="P142" i="1"/>
  <c r="K143" i="1"/>
  <c r="O141" i="1"/>
  <c r="N142" i="1"/>
  <c r="S142" i="1" s="1"/>
  <c r="T142" i="1" s="1"/>
  <c r="U142" i="1" s="1"/>
  <c r="L142" i="1"/>
  <c r="M142" i="1"/>
  <c r="P143" i="1" l="1"/>
  <c r="L143" i="1"/>
  <c r="K144" i="1"/>
  <c r="M143" i="1"/>
  <c r="O143" i="1" s="1"/>
  <c r="N143" i="1"/>
  <c r="O142" i="1"/>
  <c r="Q142" i="1" s="1"/>
  <c r="Q143" i="1" l="1"/>
  <c r="P144" i="1"/>
  <c r="K145" i="1"/>
  <c r="L144" i="1"/>
  <c r="M144" i="1"/>
  <c r="O144" i="1" s="1"/>
  <c r="N144" i="1"/>
  <c r="U143" i="1"/>
  <c r="S143" i="1"/>
  <c r="T143" i="1" s="1"/>
  <c r="Q144" i="1" l="1"/>
  <c r="P145" i="1"/>
  <c r="L145" i="1"/>
  <c r="S145" i="1"/>
  <c r="T145" i="1" s="1"/>
  <c r="K146" i="1"/>
  <c r="N145" i="1"/>
  <c r="M145" i="1"/>
  <c r="O145" i="1" s="1"/>
  <c r="S144" i="1"/>
  <c r="T144" i="1" s="1"/>
  <c r="U144" i="1"/>
  <c r="Q145" i="1" l="1"/>
  <c r="U145" i="1"/>
  <c r="P146" i="1"/>
  <c r="K147" i="1"/>
  <c r="L146" i="1"/>
  <c r="N146" i="1"/>
  <c r="M146" i="1"/>
  <c r="O146" i="1" s="1"/>
  <c r="Q146" i="1" l="1"/>
  <c r="P147" i="1"/>
  <c r="S146" i="1"/>
  <c r="T146" i="1" s="1"/>
  <c r="U146" i="1"/>
  <c r="L147" i="1"/>
  <c r="K148" i="1"/>
  <c r="M147" i="1"/>
  <c r="O147" i="1" s="1"/>
  <c r="N147" i="1"/>
  <c r="Q147" i="1" l="1"/>
  <c r="P148" i="1"/>
  <c r="S147" i="1"/>
  <c r="T147" i="1" s="1"/>
  <c r="U147" i="1"/>
  <c r="K149" i="1"/>
  <c r="N148" i="1"/>
  <c r="L148" i="1"/>
  <c r="M148" i="1"/>
  <c r="O148" i="1" s="1"/>
  <c r="Q148" i="1" l="1"/>
  <c r="P149" i="1"/>
  <c r="M149" i="1"/>
  <c r="O149" i="1" s="1"/>
  <c r="L149" i="1"/>
  <c r="N149" i="1"/>
  <c r="S148" i="1"/>
  <c r="T148" i="1" s="1"/>
  <c r="U148" i="1"/>
  <c r="Q149" i="1" l="1"/>
  <c r="S149" i="1"/>
  <c r="T149" i="1" s="1"/>
  <c r="E75" i="1" s="1"/>
  <c r="U149" i="1"/>
</calcChain>
</file>

<file path=xl/sharedStrings.xml><?xml version="1.0" encoding="utf-8"?>
<sst xmlns="http://schemas.openxmlformats.org/spreadsheetml/2006/main" count="123" uniqueCount="98">
  <si>
    <t>R1</t>
  </si>
  <si>
    <t>R2</t>
  </si>
  <si>
    <t>R3</t>
  </si>
  <si>
    <t>J1</t>
  </si>
  <si>
    <t>J2</t>
  </si>
  <si>
    <t>J3</t>
  </si>
  <si>
    <t>Jg</t>
  </si>
  <si>
    <t>f</t>
  </si>
  <si>
    <t>A</t>
  </si>
  <si>
    <t>(m)</t>
  </si>
  <si>
    <t>(kg.m²)</t>
  </si>
  <si>
    <t>(Hz)</t>
  </si>
  <si>
    <t>ω</t>
  </si>
  <si>
    <t>(rad/s)</t>
  </si>
  <si>
    <t>K</t>
  </si>
  <si>
    <t>-</t>
  </si>
  <si>
    <t>(s)</t>
  </si>
  <si>
    <t>t</t>
  </si>
  <si>
    <t>ω2</t>
  </si>
  <si>
    <t>X</t>
  </si>
  <si>
    <t>V</t>
  </si>
  <si>
    <t>ϒ</t>
  </si>
  <si>
    <t>(m/s)</t>
  </si>
  <si>
    <t>(m/s/s)</t>
  </si>
  <si>
    <t>Temps</t>
  </si>
  <si>
    <t>Vitesse</t>
  </si>
  <si>
    <r>
      <t>Déplac</t>
    </r>
    <r>
      <rPr>
        <vertAlign val="superscript"/>
        <sz val="11"/>
        <color theme="1"/>
        <rFont val="Calibri"/>
        <family val="2"/>
        <scheme val="minor"/>
      </rPr>
      <t>nt</t>
    </r>
  </si>
  <si>
    <t>Accélér.</t>
  </si>
  <si>
    <t>Vitesses angulaires</t>
  </si>
  <si>
    <t>(kg)</t>
  </si>
  <si>
    <t>Inerties</t>
  </si>
  <si>
    <t>Fréquence</t>
  </si>
  <si>
    <t>Rapport</t>
  </si>
  <si>
    <t>Puls. crém.</t>
  </si>
  <si>
    <t>Première période</t>
  </si>
  <si>
    <t>Crémaillère</t>
  </si>
  <si>
    <t>Pignon 2</t>
  </si>
  <si>
    <t>Pignon 3</t>
  </si>
  <si>
    <t>Pignon 1</t>
  </si>
  <si>
    <t>Jv</t>
  </si>
  <si>
    <t>Masse</t>
  </si>
  <si>
    <t>M</t>
  </si>
  <si>
    <t>Rayons</t>
  </si>
  <si>
    <t>Volant</t>
  </si>
  <si>
    <t>Générateur</t>
  </si>
  <si>
    <t>Course</t>
  </si>
  <si>
    <t>C</t>
  </si>
  <si>
    <t>Amplitude</t>
  </si>
  <si>
    <t>Période</t>
  </si>
  <si>
    <t>T1</t>
  </si>
  <si>
    <t xml:space="preserve">t = 0 </t>
  </si>
  <si>
    <t xml:space="preserve">t = T1/4 </t>
  </si>
  <si>
    <t xml:space="preserve">t = T1/2 </t>
  </si>
  <si>
    <t xml:space="preserve">t = 3T1/4 </t>
  </si>
  <si>
    <t xml:space="preserve">t=T1 </t>
  </si>
  <si>
    <t>ω3</t>
  </si>
  <si>
    <t xml:space="preserve">t=2T1 </t>
  </si>
  <si>
    <t>t=3T1</t>
  </si>
  <si>
    <t>t=5T1/4</t>
  </si>
  <si>
    <t>t=3T1/2</t>
  </si>
  <si>
    <t>t=7T1/4</t>
  </si>
  <si>
    <t>t=9T1/4</t>
  </si>
  <si>
    <t>t=5T1/2</t>
  </si>
  <si>
    <t>t=11T1/4</t>
  </si>
  <si>
    <t>Autre période</t>
  </si>
  <si>
    <t xml:space="preserve"> N.m</t>
  </si>
  <si>
    <t xml:space="preserve">Cg </t>
  </si>
  <si>
    <t>ω2 décél.</t>
  </si>
  <si>
    <t>Couple résistant du générateur</t>
  </si>
  <si>
    <t xml:space="preserve">   Hypothèse : 
- couple résistant constant
  (régulation de courant du générateur)
- aucun frottement dans le système</t>
  </si>
  <si>
    <t>Curseur</t>
  </si>
  <si>
    <t>Je</t>
  </si>
  <si>
    <t>C2</t>
  </si>
  <si>
    <t>(N.m)</t>
  </si>
  <si>
    <t>Fd</t>
  </si>
  <si>
    <t>(N)</t>
  </si>
  <si>
    <t>Σ inerties
sur axe 2</t>
  </si>
  <si>
    <t>ω'2</t>
  </si>
  <si>
    <t>(rad/s/s)</t>
  </si>
  <si>
    <t xml:space="preserve">Effort maxi sur dents  </t>
  </si>
  <si>
    <t xml:space="preserve">  (N)</t>
  </si>
  <si>
    <t>Fc</t>
  </si>
  <si>
    <t>Entrez vos données dans les cellules jaunes (voir feuille calculs manuels)</t>
  </si>
  <si>
    <t xml:space="preserve"> = Entraînement du pignon 2 si les
     conditions de vitesses relatives 
     sont réunies</t>
  </si>
  <si>
    <t>Effort sur crémaillère</t>
  </si>
  <si>
    <t>Axe 2</t>
  </si>
  <si>
    <t>Accélération</t>
  </si>
  <si>
    <t>Couple</t>
  </si>
  <si>
    <t>Effort</t>
  </si>
  <si>
    <t xml:space="preserve"> sur dents</t>
  </si>
  <si>
    <t>sur crémail.</t>
  </si>
  <si>
    <t>pente</t>
  </si>
  <si>
    <t>t au point de tangence</t>
  </si>
  <si>
    <t>ω3 au point de tangence</t>
  </si>
  <si>
    <t>t_tan</t>
  </si>
  <si>
    <t>ω3_tan</t>
  </si>
  <si>
    <t>pente de la courbe ω3</t>
  </si>
  <si>
    <r>
      <t xml:space="preserve">Vitesse, depuis </t>
    </r>
    <r>
      <rPr>
        <sz val="11"/>
        <color rgb="FF0070C0"/>
        <rFont val="Calibri"/>
        <family val="2"/>
      </rPr>
      <t>ω3_tan,
en décélération sous l'effet
du couple Cg (avec ω2 &gt; 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</si>
</sst>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00"/>
    <numFmt numFmtId="166" formatCode="0.000"/>
    <numFmt numFmtId="167" formatCode="0.0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1"/>
      <color rgb="FF0070C0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center" wrapText="1"/>
    </xf>
    <xf numFmtId="166" fontId="0" fillId="3" borderId="3" xfId="0" applyNumberFormat="1" applyFill="1" applyBorder="1" applyAlignment="1"/>
    <xf numFmtId="165" fontId="0" fillId="0" borderId="3" xfId="0" applyNumberFormat="1" applyFill="1" applyBorder="1" applyAlignment="1"/>
    <xf numFmtId="166" fontId="0" fillId="0" borderId="3" xfId="0" applyNumberFormat="1" applyFill="1" applyBorder="1" applyAlignment="1"/>
    <xf numFmtId="0" fontId="0" fillId="0" borderId="0" xfId="0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/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5" fontId="0" fillId="0" borderId="14" xfId="0" applyNumberFormat="1" applyFill="1" applyBorder="1" applyAlignment="1"/>
    <xf numFmtId="166" fontId="0" fillId="0" borderId="14" xfId="0" applyNumberFormat="1" applyFill="1" applyBorder="1" applyAlignment="1"/>
    <xf numFmtId="164" fontId="0" fillId="3" borderId="14" xfId="0" applyNumberFormat="1" applyFill="1" applyBorder="1" applyAlignment="1">
      <alignment horizontal="center"/>
    </xf>
    <xf numFmtId="165" fontId="0" fillId="3" borderId="14" xfId="0" applyNumberFormat="1" applyFill="1" applyBorder="1" applyAlignment="1"/>
    <xf numFmtId="166" fontId="0" fillId="3" borderId="14" xfId="0" applyNumberFormat="1" applyFill="1" applyBorder="1" applyAlignment="1"/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/>
    <xf numFmtId="0" fontId="4" fillId="0" borderId="0" xfId="0" applyFont="1" applyBorder="1" applyAlignment="1">
      <alignment vertical="center" wrapText="1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166" fontId="0" fillId="2" borderId="5" xfId="0" applyNumberFormat="1" applyFill="1" applyBorder="1" applyAlignment="1" applyProtection="1">
      <alignment horizontal="center"/>
      <protection locked="0"/>
    </xf>
    <xf numFmtId="11" fontId="0" fillId="2" borderId="5" xfId="0" applyNumberFormat="1" applyFill="1" applyBorder="1" applyAlignment="1" applyProtection="1">
      <alignment horizontal="center"/>
      <protection locked="0"/>
    </xf>
    <xf numFmtId="0" fontId="0" fillId="4" borderId="17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right"/>
    </xf>
    <xf numFmtId="0" fontId="0" fillId="0" borderId="4" xfId="0" applyBorder="1" applyAlignment="1" applyProtection="1">
      <alignment horizontal="center"/>
      <protection locked="0"/>
    </xf>
    <xf numFmtId="0" fontId="0" fillId="0" borderId="14" xfId="0" applyBorder="1" applyAlignment="1">
      <alignment horizontal="center"/>
    </xf>
    <xf numFmtId="11" fontId="0" fillId="0" borderId="2" xfId="0" applyNumberFormat="1" applyBorder="1" applyAlignment="1">
      <alignment horizontal="center"/>
    </xf>
    <xf numFmtId="166" fontId="0" fillId="0" borderId="14" xfId="0" applyNumberFormat="1" applyBorder="1"/>
    <xf numFmtId="166" fontId="0" fillId="0" borderId="3" xfId="0" applyNumberFormat="1" applyBorder="1"/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7" fontId="0" fillId="0" borderId="3" xfId="0" quotePrefix="1" applyNumberFormat="1" applyBorder="1"/>
    <xf numFmtId="167" fontId="0" fillId="3" borderId="3" xfId="0" quotePrefix="1" applyNumberFormat="1" applyFill="1" applyBorder="1"/>
    <xf numFmtId="166" fontId="0" fillId="3" borderId="14" xfId="0" applyNumberFormat="1" applyFill="1" applyBorder="1"/>
    <xf numFmtId="0" fontId="1" fillId="0" borderId="15" xfId="0" applyFont="1" applyFill="1" applyBorder="1" applyAlignment="1">
      <alignment vertical="center" wrapText="1"/>
    </xf>
    <xf numFmtId="0" fontId="0" fillId="0" borderId="15" xfId="0" applyBorder="1"/>
    <xf numFmtId="0" fontId="0" fillId="3" borderId="17" xfId="0" applyFill="1" applyBorder="1" applyAlignment="1">
      <alignment horizontal="center"/>
    </xf>
    <xf numFmtId="166" fontId="0" fillId="3" borderId="3" xfId="0" applyNumberFormat="1" applyFill="1" applyBorder="1"/>
    <xf numFmtId="0" fontId="1" fillId="0" borderId="0" xfId="0" applyFont="1" applyAlignment="1">
      <alignment vertical="center" wrapText="1"/>
    </xf>
    <xf numFmtId="164" fontId="0" fillId="5" borderId="3" xfId="0" applyNumberForma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167" fontId="0" fillId="0" borderId="3" xfId="0" quotePrefix="1" applyNumberFormat="1" applyFill="1" applyBorder="1"/>
    <xf numFmtId="166" fontId="0" fillId="0" borderId="14" xfId="0" applyNumberFormat="1" applyFill="1" applyBorder="1"/>
    <xf numFmtId="166" fontId="0" fillId="0" borderId="3" xfId="0" applyNumberFormat="1" applyFill="1" applyBorder="1"/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 vertical="center" wrapText="1"/>
    </xf>
    <xf numFmtId="0" fontId="3" fillId="0" borderId="19" xfId="0" quotePrefix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Déplacement crémaillère</a:t>
            </a:r>
          </a:p>
        </c:rich>
      </c:tx>
      <c:layout>
        <c:manualLayout>
          <c:xMode val="edge"/>
          <c:yMode val="edge"/>
          <c:x val="0.3462261522563018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1349196864343"/>
          <c:y val="0.10486111111111111"/>
          <c:w val="0.81032615740740754"/>
          <c:h val="0.82011555847185769"/>
        </c:manualLayout>
      </c:layout>
      <c:scatterChart>
        <c:scatterStyle val="lineMarker"/>
        <c:varyColors val="0"/>
        <c:ser>
          <c:idx val="0"/>
          <c:order val="0"/>
          <c:tx>
            <c:v>Déplacement</c:v>
          </c:tx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Calculs!$K$23:$K$149</c:f>
              <c:numCache>
                <c:formatCode>0.000000</c:formatCode>
                <c:ptCount val="127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  <c:pt idx="121">
                  <c:v>0.21607142857142805</c:v>
                </c:pt>
                <c:pt idx="122">
                  <c:v>0.21785714285714233</c:v>
                </c:pt>
                <c:pt idx="123">
                  <c:v>0.21964285714285661</c:v>
                </c:pt>
                <c:pt idx="124">
                  <c:v>0.22142857142857089</c:v>
                </c:pt>
                <c:pt idx="125">
                  <c:v>0.22321428571428517</c:v>
                </c:pt>
                <c:pt idx="126">
                  <c:v>0.22499999999999945</c:v>
                </c:pt>
              </c:numCache>
            </c:numRef>
          </c:xVal>
          <c:yVal>
            <c:numRef>
              <c:f>Calculs!$L$23:$L$149</c:f>
              <c:numCache>
                <c:formatCode>0.00000</c:formatCode>
                <c:ptCount val="127"/>
                <c:pt idx="0">
                  <c:v>0</c:v>
                </c:pt>
                <c:pt idx="1">
                  <c:v>3.9108616260057717E-4</c:v>
                </c:pt>
                <c:pt idx="2">
                  <c:v>7.7254248593736855E-4</c:v>
                </c:pt>
                <c:pt idx="3">
                  <c:v>1.1349762493488669E-3</c:v>
                </c:pt>
                <c:pt idx="4">
                  <c:v>1.4694631307311829E-3</c:v>
                </c:pt>
                <c:pt idx="5">
                  <c:v>1.7677669529663686E-3</c:v>
                </c:pt>
                <c:pt idx="6">
                  <c:v>2.0225424859373685E-3</c:v>
                </c:pt>
                <c:pt idx="7">
                  <c:v>2.2275163104709195E-3</c:v>
                </c:pt>
                <c:pt idx="8">
                  <c:v>2.3776412907378841E-3</c:v>
                </c:pt>
                <c:pt idx="9">
                  <c:v>2.4692208514878445E-3</c:v>
                </c:pt>
                <c:pt idx="10">
                  <c:v>2.5000000000000001E-3</c:v>
                </c:pt>
                <c:pt idx="11">
                  <c:v>2.469220851487844E-3</c:v>
                </c:pt>
                <c:pt idx="12">
                  <c:v>2.3776412907378841E-3</c:v>
                </c:pt>
                <c:pt idx="13">
                  <c:v>2.2275163104709191E-3</c:v>
                </c:pt>
                <c:pt idx="14">
                  <c:v>2.022542485937368E-3</c:v>
                </c:pt>
                <c:pt idx="15">
                  <c:v>1.7677669529663682E-3</c:v>
                </c:pt>
                <c:pt idx="16">
                  <c:v>1.469463130731182E-3</c:v>
                </c:pt>
                <c:pt idx="17">
                  <c:v>1.1349762493488662E-3</c:v>
                </c:pt>
                <c:pt idx="18">
                  <c:v>7.725424859373678E-4</c:v>
                </c:pt>
                <c:pt idx="19">
                  <c:v>3.9108616260057636E-4</c:v>
                </c:pt>
                <c:pt idx="20">
                  <c:v>-8.0393591089800154E-19</c:v>
                </c:pt>
                <c:pt idx="21">
                  <c:v>-3.9108616260057793E-4</c:v>
                </c:pt>
                <c:pt idx="22">
                  <c:v>-7.7254248593736931E-4</c:v>
                </c:pt>
                <c:pt idx="23">
                  <c:v>-1.1349762493488677E-3</c:v>
                </c:pt>
                <c:pt idx="24">
                  <c:v>-1.4694631307311835E-3</c:v>
                </c:pt>
                <c:pt idx="25">
                  <c:v>-1.7677669529663701E-3</c:v>
                </c:pt>
                <c:pt idx="26">
                  <c:v>-2.0225424859373698E-3</c:v>
                </c:pt>
                <c:pt idx="27">
                  <c:v>-2.2275163104709208E-3</c:v>
                </c:pt>
                <c:pt idx="28">
                  <c:v>-2.3776412907378845E-3</c:v>
                </c:pt>
                <c:pt idx="29">
                  <c:v>-2.4692208514878449E-3</c:v>
                </c:pt>
                <c:pt idx="30">
                  <c:v>-2.5000000000000001E-3</c:v>
                </c:pt>
                <c:pt idx="31">
                  <c:v>-2.469220851487844E-3</c:v>
                </c:pt>
                <c:pt idx="32">
                  <c:v>-2.3776412907378832E-3</c:v>
                </c:pt>
                <c:pt idx="33">
                  <c:v>-2.2275163104709191E-3</c:v>
                </c:pt>
                <c:pt idx="34">
                  <c:v>-2.0225424859373676E-3</c:v>
                </c:pt>
                <c:pt idx="35">
                  <c:v>-1.7677669529663675E-3</c:v>
                </c:pt>
                <c:pt idx="36">
                  <c:v>-1.4694631307311816E-3</c:v>
                </c:pt>
                <c:pt idx="37">
                  <c:v>-1.1349762493488675E-3</c:v>
                </c:pt>
                <c:pt idx="38">
                  <c:v>-7.7254248593737126E-4</c:v>
                </c:pt>
                <c:pt idx="39">
                  <c:v>-3.9108616260057993E-4</c:v>
                </c:pt>
                <c:pt idx="40">
                  <c:v>-5.0534663259549361E-18</c:v>
                </c:pt>
                <c:pt idx="41">
                  <c:v>3.9108616260057218E-4</c:v>
                </c:pt>
                <c:pt idx="42">
                  <c:v>7.7254248593736162E-4</c:v>
                </c:pt>
                <c:pt idx="43">
                  <c:v>1.1349762493488586E-3</c:v>
                </c:pt>
                <c:pt idx="44">
                  <c:v>1.4694631307311751E-3</c:v>
                </c:pt>
                <c:pt idx="45">
                  <c:v>1.7677669529663606E-3</c:v>
                </c:pt>
                <c:pt idx="46">
                  <c:v>2.0225424859373602E-3</c:v>
                </c:pt>
                <c:pt idx="47">
                  <c:v>2.2275163104709134E-3</c:v>
                </c:pt>
                <c:pt idx="48">
                  <c:v>2.3776412907378789E-3</c:v>
                </c:pt>
                <c:pt idx="49">
                  <c:v>2.4692208514878419E-3</c:v>
                </c:pt>
                <c:pt idx="50">
                  <c:v>2.5000000000000001E-3</c:v>
                </c:pt>
                <c:pt idx="51">
                  <c:v>2.4692208514878475E-3</c:v>
                </c:pt>
                <c:pt idx="52">
                  <c:v>2.377641290737891E-3</c:v>
                </c:pt>
                <c:pt idx="53">
                  <c:v>2.227516310470929E-3</c:v>
                </c:pt>
                <c:pt idx="54">
                  <c:v>2.0225424859373823E-3</c:v>
                </c:pt>
                <c:pt idx="55">
                  <c:v>1.7677669529663868E-3</c:v>
                </c:pt>
                <c:pt idx="56">
                  <c:v>1.469463130731205E-3</c:v>
                </c:pt>
                <c:pt idx="57">
                  <c:v>1.1349762493488935E-3</c:v>
                </c:pt>
                <c:pt idx="58">
                  <c:v>7.7254248593739902E-4</c:v>
                </c:pt>
                <c:pt idx="59">
                  <c:v>3.9108616260060661E-4</c:v>
                </c:pt>
                <c:pt idx="60">
                  <c:v>3.2005106030685847E-17</c:v>
                </c:pt>
                <c:pt idx="61">
                  <c:v>-3.910861626005434E-4</c:v>
                </c:pt>
                <c:pt idx="62">
                  <c:v>-7.7254248593733397E-4</c:v>
                </c:pt>
                <c:pt idx="63">
                  <c:v>-1.1349762493488324E-3</c:v>
                </c:pt>
                <c:pt idx="64">
                  <c:v>-1.4694631307311534E-3</c:v>
                </c:pt>
                <c:pt idx="65">
                  <c:v>-1.7677669529663415E-3</c:v>
                </c:pt>
                <c:pt idx="66">
                  <c:v>-2.0225424859373446E-3</c:v>
                </c:pt>
                <c:pt idx="67">
                  <c:v>-2.2275163104709E-3</c:v>
                </c:pt>
                <c:pt idx="68">
                  <c:v>-2.3776412907378702E-3</c:v>
                </c:pt>
                <c:pt idx="69">
                  <c:v>-2.4692208514878375E-3</c:v>
                </c:pt>
                <c:pt idx="70">
                  <c:v>-2.5000000000000001E-3</c:v>
                </c:pt>
                <c:pt idx="71">
                  <c:v>-2.469220851487851E-3</c:v>
                </c:pt>
                <c:pt idx="72">
                  <c:v>-2.3776412907378979E-3</c:v>
                </c:pt>
                <c:pt idx="73">
                  <c:v>-2.2275163104709416E-3</c:v>
                </c:pt>
                <c:pt idx="74">
                  <c:v>-2.022542485937398E-3</c:v>
                </c:pt>
                <c:pt idx="75">
                  <c:v>-1.7677669529664059E-3</c:v>
                </c:pt>
                <c:pt idx="76">
                  <c:v>-1.4694631307312269E-3</c:v>
                </c:pt>
                <c:pt idx="77">
                  <c:v>-1.1349762493489135E-3</c:v>
                </c:pt>
                <c:pt idx="78">
                  <c:v>-7.7254248593742038E-4</c:v>
                </c:pt>
                <c:pt idx="79">
                  <c:v>-3.9108616260063317E-4</c:v>
                </c:pt>
                <c:pt idx="80">
                  <c:v>-5.8956745735416757E-17</c:v>
                </c:pt>
                <c:pt idx="81">
                  <c:v>3.9108616260051673E-4</c:v>
                </c:pt>
                <c:pt idx="82">
                  <c:v>7.7254248593731239E-4</c:v>
                </c:pt>
                <c:pt idx="83">
                  <c:v>1.1349762493488124E-3</c:v>
                </c:pt>
                <c:pt idx="84">
                  <c:v>1.4694631307311315E-3</c:v>
                </c:pt>
                <c:pt idx="85">
                  <c:v>1.7677669529663224E-3</c:v>
                </c:pt>
                <c:pt idx="86">
                  <c:v>2.0225424859373286E-3</c:v>
                </c:pt>
                <c:pt idx="87">
                  <c:v>2.22751631047089E-3</c:v>
                </c:pt>
                <c:pt idx="88">
                  <c:v>2.3776412907378633E-3</c:v>
                </c:pt>
                <c:pt idx="89">
                  <c:v>2.4692208514878332E-3</c:v>
                </c:pt>
                <c:pt idx="90">
                  <c:v>2.5000000000000001E-3</c:v>
                </c:pt>
                <c:pt idx="91">
                  <c:v>2.4692208514878562E-3</c:v>
                </c:pt>
                <c:pt idx="92">
                  <c:v>2.3776412907379079E-3</c:v>
                </c:pt>
                <c:pt idx="93">
                  <c:v>2.2275163104709538E-3</c:v>
                </c:pt>
                <c:pt idx="94">
                  <c:v>2.022542485937414E-3</c:v>
                </c:pt>
                <c:pt idx="95">
                  <c:v>1.7677669529664248E-3</c:v>
                </c:pt>
                <c:pt idx="96">
                  <c:v>1.4694631307312486E-3</c:v>
                </c:pt>
                <c:pt idx="97">
                  <c:v>1.1349762493489417E-3</c:v>
                </c:pt>
                <c:pt idx="98">
                  <c:v>7.7254248593744607E-4</c:v>
                </c:pt>
                <c:pt idx="99">
                  <c:v>3.9108616260065984E-4</c:v>
                </c:pt>
                <c:pt idx="100">
                  <c:v>8.5908385440147673E-17</c:v>
                </c:pt>
                <c:pt idx="101">
                  <c:v>-3.9108616260049011E-4</c:v>
                </c:pt>
                <c:pt idx="102">
                  <c:v>-7.7254248593728691E-4</c:v>
                </c:pt>
                <c:pt idx="103">
                  <c:v>-1.1349762493487845E-3</c:v>
                </c:pt>
                <c:pt idx="104">
                  <c:v>-1.4694631307311096E-3</c:v>
                </c:pt>
                <c:pt idx="105">
                  <c:v>-1.7677669529663001E-3</c:v>
                </c:pt>
                <c:pt idx="106">
                  <c:v>-2.022542485937313E-3</c:v>
                </c:pt>
                <c:pt idx="107">
                  <c:v>-2.2275163104708774E-3</c:v>
                </c:pt>
                <c:pt idx="108">
                  <c:v>-2.3776412907378533E-3</c:v>
                </c:pt>
                <c:pt idx="109">
                  <c:v>-2.4692208514878293E-3</c:v>
                </c:pt>
                <c:pt idx="110">
                  <c:v>-2.5000000000000001E-3</c:v>
                </c:pt>
                <c:pt idx="111">
                  <c:v>-2.4692208514878601E-3</c:v>
                </c:pt>
                <c:pt idx="112">
                  <c:v>-2.3776412907379149E-3</c:v>
                </c:pt>
                <c:pt idx="113">
                  <c:v>-2.2275163104709676E-3</c:v>
                </c:pt>
                <c:pt idx="114">
                  <c:v>-2.0225424859374296E-3</c:v>
                </c:pt>
                <c:pt idx="115">
                  <c:v>-1.7677669529664469E-3</c:v>
                </c:pt>
                <c:pt idx="116">
                  <c:v>-1.4694631307312705E-3</c:v>
                </c:pt>
                <c:pt idx="117">
                  <c:v>-1.1349762493489616E-3</c:v>
                </c:pt>
                <c:pt idx="118">
                  <c:v>-7.7254248593747589E-4</c:v>
                </c:pt>
                <c:pt idx="119">
                  <c:v>-3.9108616260068646E-4</c:v>
                </c:pt>
                <c:pt idx="120">
                  <c:v>-1.1730091724337922E-16</c:v>
                </c:pt>
                <c:pt idx="121">
                  <c:v>3.9108616260046355E-4</c:v>
                </c:pt>
                <c:pt idx="122">
                  <c:v>7.7254248593726122E-4</c:v>
                </c:pt>
                <c:pt idx="123">
                  <c:v>1.1349762493487604E-3</c:v>
                </c:pt>
                <c:pt idx="124">
                  <c:v>1.4694631307310879E-3</c:v>
                </c:pt>
                <c:pt idx="125">
                  <c:v>1.7677669529662812E-3</c:v>
                </c:pt>
                <c:pt idx="126">
                  <c:v>2.0225424859372969E-3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80000"/>
        <c:axId val="102881920"/>
      </c:scatterChart>
      <c:valAx>
        <c:axId val="102880000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984275094821179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2881920"/>
        <c:crosses val="autoZero"/>
        <c:crossBetween val="midCat"/>
      </c:valAx>
      <c:valAx>
        <c:axId val="102881920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Déplacement  X (m)</a:t>
                </a:r>
              </a:p>
            </c:rich>
          </c:tx>
          <c:layout>
            <c:manualLayout>
              <c:xMode val="edge"/>
              <c:yMode val="edge"/>
              <c:x val="5.7327454315450463E-3"/>
              <c:y val="0.2906933333333333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2880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Vitesse crémaillère</a:t>
            </a:r>
          </a:p>
        </c:rich>
      </c:tx>
      <c:layout>
        <c:manualLayout>
          <c:xMode val="edge"/>
          <c:yMode val="edge"/>
          <c:x val="0.382126295778436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81620370370369"/>
          <c:y val="0.10023166666666666"/>
          <c:w val="0.80764500490062041"/>
          <c:h val="0.82937481773111699"/>
        </c:manualLayout>
      </c:layout>
      <c:scatterChart>
        <c:scatterStyle val="lineMarker"/>
        <c:varyColors val="0"/>
        <c:ser>
          <c:idx val="0"/>
          <c:order val="0"/>
          <c:tx>
            <c:v>Vitesse</c:v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Calculs!$K$23:$K$149</c:f>
              <c:numCache>
                <c:formatCode>0.000000</c:formatCode>
                <c:ptCount val="127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  <c:pt idx="121">
                  <c:v>0.21607142857142805</c:v>
                </c:pt>
                <c:pt idx="122">
                  <c:v>0.21785714285714233</c:v>
                </c:pt>
                <c:pt idx="123">
                  <c:v>0.21964285714285661</c:v>
                </c:pt>
                <c:pt idx="124">
                  <c:v>0.22142857142857089</c:v>
                </c:pt>
                <c:pt idx="125">
                  <c:v>0.22321428571428517</c:v>
                </c:pt>
                <c:pt idx="126">
                  <c:v>0.22499999999999945</c:v>
                </c:pt>
              </c:numCache>
            </c:numRef>
          </c:xVal>
          <c:yVal>
            <c:numRef>
              <c:f>Calculs!$M$23:$M$149</c:f>
              <c:numCache>
                <c:formatCode>0.000</c:formatCode>
                <c:ptCount val="127"/>
                <c:pt idx="0">
                  <c:v>0.21991148575128552</c:v>
                </c:pt>
                <c:pt idx="1">
                  <c:v>0.2172040104394985</c:v>
                </c:pt>
                <c:pt idx="2">
                  <c:v>0.20914825153190891</c:v>
                </c:pt>
                <c:pt idx="3">
                  <c:v>0.19594256854835271</c:v>
                </c:pt>
                <c:pt idx="4">
                  <c:v>0.17791212923103411</c:v>
                </c:pt>
                <c:pt idx="5">
                  <c:v>0.15550090283554283</c:v>
                </c:pt>
                <c:pt idx="6">
                  <c:v>0.12926072813433198</c:v>
                </c:pt>
                <c:pt idx="7">
                  <c:v>9.9837725314692344E-2</c:v>
                </c:pt>
                <c:pt idx="8">
                  <c:v>6.7956386355391293E-2</c:v>
                </c:pt>
                <c:pt idx="9">
                  <c:v>3.4401735629704666E-2</c:v>
                </c:pt>
                <c:pt idx="10">
                  <c:v>-3.535894812287852E-17</c:v>
                </c:pt>
                <c:pt idx="11">
                  <c:v>-3.4401735629704742E-2</c:v>
                </c:pt>
                <c:pt idx="12">
                  <c:v>-6.7956386355391363E-2</c:v>
                </c:pt>
                <c:pt idx="13">
                  <c:v>-9.9837725314692413E-2</c:v>
                </c:pt>
                <c:pt idx="14">
                  <c:v>-0.12926072813433204</c:v>
                </c:pt>
                <c:pt idx="15">
                  <c:v>-0.15550090283554288</c:v>
                </c:pt>
                <c:pt idx="16">
                  <c:v>-0.17791212923103414</c:v>
                </c:pt>
                <c:pt idx="17">
                  <c:v>-0.19594256854835274</c:v>
                </c:pt>
                <c:pt idx="18">
                  <c:v>-0.20914825153190894</c:v>
                </c:pt>
                <c:pt idx="19">
                  <c:v>-0.2172040104394985</c:v>
                </c:pt>
                <c:pt idx="20">
                  <c:v>-0.21991148575128552</c:v>
                </c:pt>
                <c:pt idx="21">
                  <c:v>-0.21720401043949847</c:v>
                </c:pt>
                <c:pt idx="22">
                  <c:v>-0.20914825153190891</c:v>
                </c:pt>
                <c:pt idx="23">
                  <c:v>-0.19594256854835265</c:v>
                </c:pt>
                <c:pt idx="24">
                  <c:v>-0.17791212923103406</c:v>
                </c:pt>
                <c:pt idx="25">
                  <c:v>-0.15550090283554271</c:v>
                </c:pt>
                <c:pt idx="26">
                  <c:v>-0.12926072813433184</c:v>
                </c:pt>
                <c:pt idx="27">
                  <c:v>-9.9837725314692191E-2</c:v>
                </c:pt>
                <c:pt idx="28">
                  <c:v>-6.7956386355391182E-2</c:v>
                </c:pt>
                <c:pt idx="29">
                  <c:v>-3.4401735629704548E-2</c:v>
                </c:pt>
                <c:pt idx="30">
                  <c:v>1.5490700334075642E-16</c:v>
                </c:pt>
                <c:pt idx="31">
                  <c:v>3.4401735629704853E-2</c:v>
                </c:pt>
                <c:pt idx="32">
                  <c:v>6.7956386355391474E-2</c:v>
                </c:pt>
                <c:pt idx="33">
                  <c:v>9.9837725314692469E-2</c:v>
                </c:pt>
                <c:pt idx="34">
                  <c:v>0.12926072813433209</c:v>
                </c:pt>
                <c:pt idx="35">
                  <c:v>0.15550090283554294</c:v>
                </c:pt>
                <c:pt idx="36">
                  <c:v>0.17791212923103417</c:v>
                </c:pt>
                <c:pt idx="37">
                  <c:v>0.19594256854835268</c:v>
                </c:pt>
                <c:pt idx="38">
                  <c:v>0.20914825153190883</c:v>
                </c:pt>
                <c:pt idx="39">
                  <c:v>0.21720401043949844</c:v>
                </c:pt>
                <c:pt idx="40">
                  <c:v>0.21991148575128552</c:v>
                </c:pt>
                <c:pt idx="41">
                  <c:v>0.21720401043949852</c:v>
                </c:pt>
                <c:pt idx="42">
                  <c:v>0.20914825153190914</c:v>
                </c:pt>
                <c:pt idx="43">
                  <c:v>0.19594256854835307</c:v>
                </c:pt>
                <c:pt idx="44">
                  <c:v>0.17791212923103458</c:v>
                </c:pt>
                <c:pt idx="45">
                  <c:v>0.15550090283554355</c:v>
                </c:pt>
                <c:pt idx="46">
                  <c:v>0.12926072813433298</c:v>
                </c:pt>
                <c:pt idx="47">
                  <c:v>9.983772531469344E-2</c:v>
                </c:pt>
                <c:pt idx="48">
                  <c:v>6.7956386355392695E-2</c:v>
                </c:pt>
                <c:pt idx="49">
                  <c:v>3.4401735629706123E-2</c:v>
                </c:pt>
                <c:pt idx="50">
                  <c:v>1.6299211413540786E-15</c:v>
                </c:pt>
                <c:pt idx="51">
                  <c:v>-3.4401735629702897E-2</c:v>
                </c:pt>
                <c:pt idx="52">
                  <c:v>-6.7956386355389406E-2</c:v>
                </c:pt>
                <c:pt idx="53">
                  <c:v>-9.9837725314690706E-2</c:v>
                </c:pt>
                <c:pt idx="54">
                  <c:v>-0.12926072813433034</c:v>
                </c:pt>
                <c:pt idx="55">
                  <c:v>-0.15550090283554124</c:v>
                </c:pt>
                <c:pt idx="56">
                  <c:v>-0.17791212923103267</c:v>
                </c:pt>
                <c:pt idx="57">
                  <c:v>-0.19594256854835151</c:v>
                </c:pt>
                <c:pt idx="58">
                  <c:v>-0.20914825153190805</c:v>
                </c:pt>
                <c:pt idx="59">
                  <c:v>-0.21720401043949808</c:v>
                </c:pt>
                <c:pt idx="60">
                  <c:v>-0.21991148575128552</c:v>
                </c:pt>
                <c:pt idx="61">
                  <c:v>-0.21720401043949894</c:v>
                </c:pt>
                <c:pt idx="62">
                  <c:v>-0.20914825153190991</c:v>
                </c:pt>
                <c:pt idx="63">
                  <c:v>-0.19594256854835423</c:v>
                </c:pt>
                <c:pt idx="64">
                  <c:v>-0.17791212923103597</c:v>
                </c:pt>
                <c:pt idx="65">
                  <c:v>-0.15550090283554521</c:v>
                </c:pt>
                <c:pt idx="66">
                  <c:v>-0.12926072813433487</c:v>
                </c:pt>
                <c:pt idx="67">
                  <c:v>-9.9837725314695716E-2</c:v>
                </c:pt>
                <c:pt idx="68">
                  <c:v>-6.7956386355395137E-2</c:v>
                </c:pt>
                <c:pt idx="69">
                  <c:v>-3.4401735629708462E-2</c:v>
                </c:pt>
                <c:pt idx="70">
                  <c:v>-4.0007111937143643E-15</c:v>
                </c:pt>
                <c:pt idx="71">
                  <c:v>3.4401735629700947E-2</c:v>
                </c:pt>
                <c:pt idx="72">
                  <c:v>6.7956386355387532E-2</c:v>
                </c:pt>
                <c:pt idx="73">
                  <c:v>9.9837725314688597E-2</c:v>
                </c:pt>
                <c:pt idx="74">
                  <c:v>0.1292607281343284</c:v>
                </c:pt>
                <c:pt idx="75">
                  <c:v>0.15550090283553958</c:v>
                </c:pt>
                <c:pt idx="76">
                  <c:v>0.17791212923103125</c:v>
                </c:pt>
                <c:pt idx="77">
                  <c:v>0.1959425685483506</c:v>
                </c:pt>
                <c:pt idx="78">
                  <c:v>0.20914825153190744</c:v>
                </c:pt>
                <c:pt idx="79">
                  <c:v>0.21720401043949769</c:v>
                </c:pt>
                <c:pt idx="80">
                  <c:v>0.21991148575128552</c:v>
                </c:pt>
                <c:pt idx="81">
                  <c:v>0.2172040104394993</c:v>
                </c:pt>
                <c:pt idx="82">
                  <c:v>0.20914825153191052</c:v>
                </c:pt>
                <c:pt idx="83">
                  <c:v>0.19594256854835515</c:v>
                </c:pt>
                <c:pt idx="84">
                  <c:v>0.17791212923103736</c:v>
                </c:pt>
                <c:pt idx="85">
                  <c:v>0.15550090283554691</c:v>
                </c:pt>
                <c:pt idx="86">
                  <c:v>0.12926072813433681</c:v>
                </c:pt>
                <c:pt idx="87">
                  <c:v>9.9837725314697492E-2</c:v>
                </c:pt>
                <c:pt idx="88">
                  <c:v>6.7956386355397011E-2</c:v>
                </c:pt>
                <c:pt idx="89">
                  <c:v>3.44017356297108E-2</c:v>
                </c:pt>
                <c:pt idx="90">
                  <c:v>6.3715012460746495E-15</c:v>
                </c:pt>
                <c:pt idx="91">
                  <c:v>-3.4401735629698213E-2</c:v>
                </c:pt>
                <c:pt idx="92">
                  <c:v>-6.7956386355384896E-2</c:v>
                </c:pt>
                <c:pt idx="93">
                  <c:v>-9.9837725314686487E-2</c:v>
                </c:pt>
                <c:pt idx="94">
                  <c:v>-0.12926072813432651</c:v>
                </c:pt>
                <c:pt idx="95">
                  <c:v>-0.15550090283553789</c:v>
                </c:pt>
                <c:pt idx="96">
                  <c:v>-0.17791212923102986</c:v>
                </c:pt>
                <c:pt idx="97">
                  <c:v>-0.19594256854834935</c:v>
                </c:pt>
                <c:pt idx="98">
                  <c:v>-0.20914825153190672</c:v>
                </c:pt>
                <c:pt idx="99">
                  <c:v>-0.2172040104394973</c:v>
                </c:pt>
                <c:pt idx="100">
                  <c:v>-0.21991148575128552</c:v>
                </c:pt>
                <c:pt idx="101">
                  <c:v>-0.21720401043949969</c:v>
                </c:pt>
                <c:pt idx="102">
                  <c:v>-0.20914825153191124</c:v>
                </c:pt>
                <c:pt idx="103">
                  <c:v>-0.1959425685483564</c:v>
                </c:pt>
                <c:pt idx="104">
                  <c:v>-0.17791212923103877</c:v>
                </c:pt>
                <c:pt idx="105">
                  <c:v>-0.15550090283554885</c:v>
                </c:pt>
                <c:pt idx="106">
                  <c:v>-0.1292607281343387</c:v>
                </c:pt>
                <c:pt idx="107">
                  <c:v>-9.9837725314699602E-2</c:v>
                </c:pt>
                <c:pt idx="108">
                  <c:v>-6.7956386355399634E-2</c:v>
                </c:pt>
                <c:pt idx="109">
                  <c:v>-3.4401735629713145E-2</c:v>
                </c:pt>
                <c:pt idx="110">
                  <c:v>-9.1329325702119009E-15</c:v>
                </c:pt>
                <c:pt idx="111">
                  <c:v>3.4401735629695882E-2</c:v>
                </c:pt>
                <c:pt idx="112">
                  <c:v>6.7956386355383008E-2</c:v>
                </c:pt>
                <c:pt idx="113">
                  <c:v>9.9837725314684031E-2</c:v>
                </c:pt>
                <c:pt idx="114">
                  <c:v>0.12926072813432457</c:v>
                </c:pt>
                <c:pt idx="115">
                  <c:v>0.15550090283553594</c:v>
                </c:pt>
                <c:pt idx="116">
                  <c:v>0.17791212923102848</c:v>
                </c:pt>
                <c:pt idx="117">
                  <c:v>0.19594256854834846</c:v>
                </c:pt>
                <c:pt idx="118">
                  <c:v>0.20914825153190586</c:v>
                </c:pt>
                <c:pt idx="119">
                  <c:v>0.21720401043949694</c:v>
                </c:pt>
                <c:pt idx="120">
                  <c:v>0.21991148575128552</c:v>
                </c:pt>
                <c:pt idx="121">
                  <c:v>0.21720401043950005</c:v>
                </c:pt>
                <c:pt idx="122">
                  <c:v>0.20914825153191199</c:v>
                </c:pt>
                <c:pt idx="123">
                  <c:v>0.19594256854835748</c:v>
                </c:pt>
                <c:pt idx="124">
                  <c:v>0.17791212923104016</c:v>
                </c:pt>
                <c:pt idx="125">
                  <c:v>0.15550090283555054</c:v>
                </c:pt>
                <c:pt idx="126">
                  <c:v>0.12926072813434064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91808"/>
        <c:axId val="77771520"/>
      </c:scatterChart>
      <c:valAx>
        <c:axId val="10279180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03154933975748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77771520"/>
        <c:crosses val="autoZero"/>
        <c:crossBetween val="midCat"/>
      </c:valAx>
      <c:valAx>
        <c:axId val="777715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Vitesse V (m/s)</a:t>
                </a:r>
              </a:p>
            </c:rich>
          </c:tx>
          <c:layout>
            <c:manualLayout>
              <c:xMode val="edge"/>
              <c:yMode val="edge"/>
              <c:x val="8.0822312641454803E-3"/>
              <c:y val="0.33912999999999999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2791808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Accélération crémaillère</a:t>
            </a:r>
          </a:p>
        </c:rich>
      </c:tx>
      <c:layout>
        <c:manualLayout>
          <c:xMode val="edge"/>
          <c:yMode val="edge"/>
          <c:x val="0.341527180591100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94537037037037"/>
          <c:y val="0.10486111111111111"/>
          <c:w val="0.8075156906803852"/>
          <c:h val="0.82011555847185769"/>
        </c:manualLayout>
      </c:layout>
      <c:scatterChart>
        <c:scatterStyle val="lineMarker"/>
        <c:varyColors val="0"/>
        <c:ser>
          <c:idx val="0"/>
          <c:order val="0"/>
          <c:tx>
            <c:v>Accélération</c:v>
          </c:tx>
          <c:spPr>
            <a:ln w="127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Calculs!$K$23:$K$149</c:f>
              <c:numCache>
                <c:formatCode>0.000000</c:formatCode>
                <c:ptCount val="127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  <c:pt idx="121">
                  <c:v>0.21607142857142805</c:v>
                </c:pt>
                <c:pt idx="122">
                  <c:v>0.21785714285714233</c:v>
                </c:pt>
                <c:pt idx="123">
                  <c:v>0.21964285714285661</c:v>
                </c:pt>
                <c:pt idx="124">
                  <c:v>0.22142857142857089</c:v>
                </c:pt>
                <c:pt idx="125">
                  <c:v>0.22321428571428517</c:v>
                </c:pt>
                <c:pt idx="126">
                  <c:v>0.22499999999999945</c:v>
                </c:pt>
              </c:numCache>
            </c:numRef>
          </c:xVal>
          <c:yVal>
            <c:numRef>
              <c:f>Calculs!$N$23:$N$149</c:f>
              <c:numCache>
                <c:formatCode>0.000</c:formatCode>
                <c:ptCount val="127"/>
                <c:pt idx="0">
                  <c:v>0</c:v>
                </c:pt>
                <c:pt idx="1">
                  <c:v>-3.0261347179005194</c:v>
                </c:pt>
                <c:pt idx="2">
                  <c:v>-5.9777559558809976</c:v>
                </c:pt>
                <c:pt idx="3">
                  <c:v>-8.7821850031930886</c:v>
                </c:pt>
                <c:pt idx="4">
                  <c:v>-11.370367509325575</c:v>
                </c:pt>
                <c:pt idx="5">
                  <c:v>-13.678573831292203</c:v>
                </c:pt>
                <c:pt idx="6">
                  <c:v>-15.649968268948571</c:v>
                </c:pt>
                <c:pt idx="7">
                  <c:v>-17.236008548556541</c:v>
                </c:pt>
                <c:pt idx="8">
                  <c:v>-18.39764109466627</c:v>
                </c:pt>
                <c:pt idx="9">
                  <c:v>-19.106262658755139</c:v>
                </c:pt>
                <c:pt idx="10">
                  <c:v>-19.344424626135144</c:v>
                </c:pt>
                <c:pt idx="11">
                  <c:v>-19.106262658755135</c:v>
                </c:pt>
                <c:pt idx="12">
                  <c:v>-18.397641094666266</c:v>
                </c:pt>
                <c:pt idx="13">
                  <c:v>-17.236008548556537</c:v>
                </c:pt>
                <c:pt idx="14">
                  <c:v>-15.649968268948566</c:v>
                </c:pt>
                <c:pt idx="15">
                  <c:v>-13.6785738312922</c:v>
                </c:pt>
                <c:pt idx="16">
                  <c:v>-11.37036750932557</c:v>
                </c:pt>
                <c:pt idx="17">
                  <c:v>-8.7821850031930833</c:v>
                </c:pt>
                <c:pt idx="18">
                  <c:v>-5.9777559558809923</c:v>
                </c:pt>
                <c:pt idx="19">
                  <c:v>-3.0261347179005127</c:v>
                </c:pt>
                <c:pt idx="20">
                  <c:v>6.2206710530438758E-15</c:v>
                </c:pt>
                <c:pt idx="21">
                  <c:v>3.0261347179005251</c:v>
                </c:pt>
                <c:pt idx="22">
                  <c:v>5.9777559558810038</c:v>
                </c:pt>
                <c:pt idx="23">
                  <c:v>8.7821850031930957</c:v>
                </c:pt>
                <c:pt idx="24">
                  <c:v>11.370367509325581</c:v>
                </c:pt>
                <c:pt idx="25">
                  <c:v>13.678573831292214</c:v>
                </c:pt>
                <c:pt idx="26">
                  <c:v>15.649968268948578</c:v>
                </c:pt>
                <c:pt idx="27">
                  <c:v>17.236008548556548</c:v>
                </c:pt>
                <c:pt idx="28">
                  <c:v>18.397641094666273</c:v>
                </c:pt>
                <c:pt idx="29">
                  <c:v>19.106262658755142</c:v>
                </c:pt>
                <c:pt idx="30">
                  <c:v>19.344424626135144</c:v>
                </c:pt>
                <c:pt idx="31">
                  <c:v>19.106262658755135</c:v>
                </c:pt>
                <c:pt idx="32">
                  <c:v>18.397641094666263</c:v>
                </c:pt>
                <c:pt idx="33">
                  <c:v>17.236008548556537</c:v>
                </c:pt>
                <c:pt idx="34">
                  <c:v>15.649968268948562</c:v>
                </c:pt>
                <c:pt idx="35">
                  <c:v>13.678573831292194</c:v>
                </c:pt>
                <c:pt idx="36">
                  <c:v>11.370367509325565</c:v>
                </c:pt>
                <c:pt idx="37">
                  <c:v>8.7821850031930921</c:v>
                </c:pt>
                <c:pt idx="38">
                  <c:v>5.9777559558810189</c:v>
                </c:pt>
                <c:pt idx="39">
                  <c:v>3.0261347179005407</c:v>
                </c:pt>
                <c:pt idx="40">
                  <c:v>3.9102559377258944E-14</c:v>
                </c:pt>
                <c:pt idx="41">
                  <c:v>-3.0261347179004807</c:v>
                </c:pt>
                <c:pt idx="42">
                  <c:v>-5.9777559558809443</c:v>
                </c:pt>
                <c:pt idx="43">
                  <c:v>-8.7821850031930246</c:v>
                </c:pt>
                <c:pt idx="44">
                  <c:v>-11.370367509325515</c:v>
                </c:pt>
                <c:pt idx="45">
                  <c:v>-13.678573831292141</c:v>
                </c:pt>
                <c:pt idx="46">
                  <c:v>-15.649968268948506</c:v>
                </c:pt>
                <c:pt idx="47">
                  <c:v>-17.236008548556494</c:v>
                </c:pt>
                <c:pt idx="48">
                  <c:v>-18.397641094666231</c:v>
                </c:pt>
                <c:pt idx="49">
                  <c:v>-19.106262658755117</c:v>
                </c:pt>
                <c:pt idx="50">
                  <c:v>-19.344424626135144</c:v>
                </c:pt>
                <c:pt idx="51">
                  <c:v>-19.106262658755163</c:v>
                </c:pt>
                <c:pt idx="52">
                  <c:v>-18.397641094666323</c:v>
                </c:pt>
                <c:pt idx="53">
                  <c:v>-17.236008548556615</c:v>
                </c:pt>
                <c:pt idx="54">
                  <c:v>-15.649968268948676</c:v>
                </c:pt>
                <c:pt idx="55">
                  <c:v>-13.678573831292343</c:v>
                </c:pt>
                <c:pt idx="56">
                  <c:v>-11.370367509325748</c:v>
                </c:pt>
                <c:pt idx="57">
                  <c:v>-8.7821850031932946</c:v>
                </c:pt>
                <c:pt idx="58">
                  <c:v>-5.9777559558812339</c:v>
                </c:pt>
                <c:pt idx="59">
                  <c:v>-3.0261347179007467</c:v>
                </c:pt>
                <c:pt idx="60">
                  <c:v>-2.4764814450482629E-13</c:v>
                </c:pt>
                <c:pt idx="61">
                  <c:v>3.0261347179002578</c:v>
                </c:pt>
                <c:pt idx="62">
                  <c:v>5.9777559558807303</c:v>
                </c:pt>
                <c:pt idx="63">
                  <c:v>8.7821850031928221</c:v>
                </c:pt>
                <c:pt idx="64">
                  <c:v>11.370367509325348</c:v>
                </c:pt>
                <c:pt idx="65">
                  <c:v>13.678573831291994</c:v>
                </c:pt>
                <c:pt idx="66">
                  <c:v>15.649968268948383</c:v>
                </c:pt>
                <c:pt idx="67">
                  <c:v>17.236008548556391</c:v>
                </c:pt>
                <c:pt idx="68">
                  <c:v>18.397641094666159</c:v>
                </c:pt>
                <c:pt idx="69">
                  <c:v>19.106262658755085</c:v>
                </c:pt>
                <c:pt idx="70">
                  <c:v>19.344424626135144</c:v>
                </c:pt>
                <c:pt idx="71">
                  <c:v>19.106262658755192</c:v>
                </c:pt>
                <c:pt idx="72">
                  <c:v>18.397641094666376</c:v>
                </c:pt>
                <c:pt idx="73">
                  <c:v>17.236008548556711</c:v>
                </c:pt>
                <c:pt idx="74">
                  <c:v>15.649968268948799</c:v>
                </c:pt>
                <c:pt idx="75">
                  <c:v>13.678573831292491</c:v>
                </c:pt>
                <c:pt idx="76">
                  <c:v>11.370367509325916</c:v>
                </c:pt>
                <c:pt idx="77">
                  <c:v>8.7821850031934492</c:v>
                </c:pt>
                <c:pt idx="78">
                  <c:v>5.9777559558813991</c:v>
                </c:pt>
                <c:pt idx="79">
                  <c:v>3.0261347179009523</c:v>
                </c:pt>
                <c:pt idx="80">
                  <c:v>4.5619372963239362E-13</c:v>
                </c:pt>
                <c:pt idx="81">
                  <c:v>-3.0261347179000517</c:v>
                </c:pt>
                <c:pt idx="82">
                  <c:v>-5.9777559558805642</c:v>
                </c:pt>
                <c:pt idx="83">
                  <c:v>-8.7821850031926676</c:v>
                </c:pt>
                <c:pt idx="84">
                  <c:v>-11.370367509325179</c:v>
                </c:pt>
                <c:pt idx="85">
                  <c:v>-13.678573831291844</c:v>
                </c:pt>
                <c:pt idx="86">
                  <c:v>-15.64996826894826</c:v>
                </c:pt>
                <c:pt idx="87">
                  <c:v>-17.23600854855631</c:v>
                </c:pt>
                <c:pt idx="88">
                  <c:v>-18.397641094666106</c:v>
                </c:pt>
                <c:pt idx="89">
                  <c:v>-19.106262658755053</c:v>
                </c:pt>
                <c:pt idx="90">
                  <c:v>-19.344424626135144</c:v>
                </c:pt>
                <c:pt idx="91">
                  <c:v>-19.106262658755227</c:v>
                </c:pt>
                <c:pt idx="92">
                  <c:v>-18.397641094666451</c:v>
                </c:pt>
                <c:pt idx="93">
                  <c:v>-17.236008548556804</c:v>
                </c:pt>
                <c:pt idx="94">
                  <c:v>-15.649968268948921</c:v>
                </c:pt>
                <c:pt idx="95">
                  <c:v>-13.678573831292637</c:v>
                </c:pt>
                <c:pt idx="96">
                  <c:v>-11.370367509326085</c:v>
                </c:pt>
                <c:pt idx="97">
                  <c:v>-8.7821850031936659</c:v>
                </c:pt>
                <c:pt idx="98">
                  <c:v>-5.977755955881598</c:v>
                </c:pt>
                <c:pt idx="99">
                  <c:v>-3.0261347179011588</c:v>
                </c:pt>
                <c:pt idx="100">
                  <c:v>-6.6473931475996099E-13</c:v>
                </c:pt>
                <c:pt idx="101">
                  <c:v>3.0261347178998452</c:v>
                </c:pt>
                <c:pt idx="102">
                  <c:v>5.9777559558803661</c:v>
                </c:pt>
                <c:pt idx="103">
                  <c:v>8.7821850031924509</c:v>
                </c:pt>
                <c:pt idx="104">
                  <c:v>11.370367509325009</c:v>
                </c:pt>
                <c:pt idx="105">
                  <c:v>13.678573831291672</c:v>
                </c:pt>
                <c:pt idx="106">
                  <c:v>15.64996826894814</c:v>
                </c:pt>
                <c:pt idx="107">
                  <c:v>17.236008548556217</c:v>
                </c:pt>
                <c:pt idx="108">
                  <c:v>18.397641094666032</c:v>
                </c:pt>
                <c:pt idx="109">
                  <c:v>19.106262658755021</c:v>
                </c:pt>
                <c:pt idx="110">
                  <c:v>19.344424626135144</c:v>
                </c:pt>
                <c:pt idx="111">
                  <c:v>19.106262658755259</c:v>
                </c:pt>
                <c:pt idx="112">
                  <c:v>18.397641094666508</c:v>
                </c:pt>
                <c:pt idx="113">
                  <c:v>17.236008548556914</c:v>
                </c:pt>
                <c:pt idx="114">
                  <c:v>15.649968268949044</c:v>
                </c:pt>
                <c:pt idx="115">
                  <c:v>13.678573831292809</c:v>
                </c:pt>
                <c:pt idx="116">
                  <c:v>11.370367509326254</c:v>
                </c:pt>
                <c:pt idx="117">
                  <c:v>8.7821850031938204</c:v>
                </c:pt>
                <c:pt idx="118">
                  <c:v>5.977755955881829</c:v>
                </c:pt>
                <c:pt idx="119">
                  <c:v>3.0261347179013649</c:v>
                </c:pt>
                <c:pt idx="120">
                  <c:v>9.0764750087642618E-13</c:v>
                </c:pt>
                <c:pt idx="121">
                  <c:v>-3.0261347178996396</c:v>
                </c:pt>
                <c:pt idx="122">
                  <c:v>-5.9777559558801672</c:v>
                </c:pt>
                <c:pt idx="123">
                  <c:v>-8.7821850031922644</c:v>
                </c:pt>
                <c:pt idx="124">
                  <c:v>-11.370367509324842</c:v>
                </c:pt>
                <c:pt idx="125">
                  <c:v>-13.678573831291526</c:v>
                </c:pt>
                <c:pt idx="126">
                  <c:v>-15.649968268948017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14464"/>
        <c:axId val="102816384"/>
      </c:scatterChart>
      <c:valAx>
        <c:axId val="10281446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507921467233551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2816384"/>
        <c:crosses val="autoZero"/>
        <c:crossBetween val="midCat"/>
      </c:valAx>
      <c:valAx>
        <c:axId val="1028163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Accélération </a:t>
                </a:r>
                <a:r>
                  <a:rPr lang="el-GR" sz="800"/>
                  <a:t>ϒ</a:t>
                </a:r>
                <a:r>
                  <a:rPr lang="fr-FR" sz="800"/>
                  <a:t> (m)/s/s)</a:t>
                </a:r>
              </a:p>
            </c:rich>
          </c:tx>
          <c:layout>
            <c:manualLayout>
              <c:xMode val="edge"/>
              <c:yMode val="edge"/>
              <c:x val="8.0822312641454803E-3"/>
              <c:y val="0.28363777777777777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281446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Vitesse angulaire pignons 2 et 3</a:t>
            </a:r>
          </a:p>
        </c:rich>
      </c:tx>
      <c:layout>
        <c:manualLayout>
          <c:xMode val="edge"/>
          <c:yMode val="edge"/>
          <c:x val="0.382126295778436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07474712499811"/>
          <c:y val="0.10023166666666666"/>
          <c:w val="0.67876306194282399"/>
          <c:h val="0.82937481773111699"/>
        </c:manualLayout>
      </c:layout>
      <c:scatterChart>
        <c:scatterStyle val="lineMarker"/>
        <c:varyColors val="0"/>
        <c:ser>
          <c:idx val="0"/>
          <c:order val="0"/>
          <c:tx>
            <c:v>ω3</c:v>
          </c:tx>
          <c:spPr>
            <a:ln w="127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Calculs!$K$23:$K$149</c:f>
              <c:numCache>
                <c:formatCode>0.000000</c:formatCode>
                <c:ptCount val="127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  <c:pt idx="121">
                  <c:v>0.21607142857142805</c:v>
                </c:pt>
                <c:pt idx="122">
                  <c:v>0.21785714285714233</c:v>
                </c:pt>
                <c:pt idx="123">
                  <c:v>0.21964285714285661</c:v>
                </c:pt>
                <c:pt idx="124">
                  <c:v>0.22142857142857089</c:v>
                </c:pt>
                <c:pt idx="125">
                  <c:v>0.22321428571428517</c:v>
                </c:pt>
                <c:pt idx="126">
                  <c:v>0.22499999999999945</c:v>
                </c:pt>
              </c:numCache>
            </c:numRef>
          </c:xVal>
          <c:yVal>
            <c:numRef>
              <c:f>Calculs!$O$23:$O$149</c:f>
              <c:numCache>
                <c:formatCode>0.000</c:formatCode>
                <c:ptCount val="127"/>
                <c:pt idx="0">
                  <c:v>21.991148575128552</c:v>
                </c:pt>
                <c:pt idx="1">
                  <c:v>21.720401043949849</c:v>
                </c:pt>
                <c:pt idx="2">
                  <c:v>20.91482515319089</c:v>
                </c:pt>
                <c:pt idx="3">
                  <c:v>19.594256854835269</c:v>
                </c:pt>
                <c:pt idx="4">
                  <c:v>17.791212923103412</c:v>
                </c:pt>
                <c:pt idx="5">
                  <c:v>15.550090283554283</c:v>
                </c:pt>
                <c:pt idx="6">
                  <c:v>12.926072813433198</c:v>
                </c:pt>
                <c:pt idx="7">
                  <c:v>9.9837725314692349</c:v>
                </c:pt>
                <c:pt idx="8">
                  <c:v>6.7956386355391292</c:v>
                </c:pt>
                <c:pt idx="9">
                  <c:v>3.4401735629704664</c:v>
                </c:pt>
                <c:pt idx="10">
                  <c:v>-3.5358948122878519E-15</c:v>
                </c:pt>
                <c:pt idx="11">
                  <c:v>-3.4401735629704744</c:v>
                </c:pt>
                <c:pt idx="12">
                  <c:v>-6.7956386355391363</c:v>
                </c:pt>
                <c:pt idx="13">
                  <c:v>-9.9837725314692403</c:v>
                </c:pt>
                <c:pt idx="14">
                  <c:v>-12.926072813433203</c:v>
                </c:pt>
                <c:pt idx="15">
                  <c:v>-15.550090283554288</c:v>
                </c:pt>
                <c:pt idx="16">
                  <c:v>-17.791212923103412</c:v>
                </c:pt>
                <c:pt idx="17">
                  <c:v>-19.594256854835272</c:v>
                </c:pt>
                <c:pt idx="18">
                  <c:v>-20.914825153190893</c:v>
                </c:pt>
                <c:pt idx="19">
                  <c:v>-21.720401043949849</c:v>
                </c:pt>
                <c:pt idx="20">
                  <c:v>-21.991148575128552</c:v>
                </c:pt>
                <c:pt idx="21">
                  <c:v>-21.720401043949845</c:v>
                </c:pt>
                <c:pt idx="22">
                  <c:v>-20.91482515319089</c:v>
                </c:pt>
                <c:pt idx="23">
                  <c:v>-19.594256854835265</c:v>
                </c:pt>
                <c:pt idx="24">
                  <c:v>-17.791212923103405</c:v>
                </c:pt>
                <c:pt idx="25">
                  <c:v>-15.550090283554271</c:v>
                </c:pt>
                <c:pt idx="26">
                  <c:v>-12.926072813433183</c:v>
                </c:pt>
                <c:pt idx="27">
                  <c:v>-9.9837725314692189</c:v>
                </c:pt>
                <c:pt idx="28">
                  <c:v>-6.7956386355391185</c:v>
                </c:pt>
                <c:pt idx="29">
                  <c:v>-3.4401735629704548</c:v>
                </c:pt>
                <c:pt idx="30">
                  <c:v>1.5490700334075641E-14</c:v>
                </c:pt>
                <c:pt idx="31">
                  <c:v>3.4401735629704855</c:v>
                </c:pt>
                <c:pt idx="32">
                  <c:v>6.7956386355391469</c:v>
                </c:pt>
                <c:pt idx="33">
                  <c:v>9.9837725314692474</c:v>
                </c:pt>
                <c:pt idx="34">
                  <c:v>12.926072813433208</c:v>
                </c:pt>
                <c:pt idx="35">
                  <c:v>15.550090283554294</c:v>
                </c:pt>
                <c:pt idx="36">
                  <c:v>17.791212923103416</c:v>
                </c:pt>
                <c:pt idx="37">
                  <c:v>19.594256854835269</c:v>
                </c:pt>
                <c:pt idx="38">
                  <c:v>20.914825153190883</c:v>
                </c:pt>
                <c:pt idx="39">
                  <c:v>21.720401043949842</c:v>
                </c:pt>
                <c:pt idx="40">
                  <c:v>21.991148575128552</c:v>
                </c:pt>
                <c:pt idx="41">
                  <c:v>21.720401043949852</c:v>
                </c:pt>
                <c:pt idx="42">
                  <c:v>20.914825153190915</c:v>
                </c:pt>
                <c:pt idx="43">
                  <c:v>19.594256854835308</c:v>
                </c:pt>
                <c:pt idx="44">
                  <c:v>17.791212923103458</c:v>
                </c:pt>
                <c:pt idx="45">
                  <c:v>15.550090283554354</c:v>
                </c:pt>
                <c:pt idx="46">
                  <c:v>12.926072813433297</c:v>
                </c:pt>
                <c:pt idx="47">
                  <c:v>9.9837725314693433</c:v>
                </c:pt>
                <c:pt idx="48">
                  <c:v>6.7956386355392695</c:v>
                </c:pt>
                <c:pt idx="49">
                  <c:v>3.4401735629706121</c:v>
                </c:pt>
                <c:pt idx="50">
                  <c:v>1.6299211413540787E-13</c:v>
                </c:pt>
                <c:pt idx="51">
                  <c:v>-3.4401735629702896</c:v>
                </c:pt>
                <c:pt idx="52">
                  <c:v>-6.7956386355389409</c:v>
                </c:pt>
                <c:pt idx="53">
                  <c:v>-9.9837725314690697</c:v>
                </c:pt>
                <c:pt idx="54">
                  <c:v>-12.926072813433034</c:v>
                </c:pt>
                <c:pt idx="55">
                  <c:v>-15.550090283554123</c:v>
                </c:pt>
                <c:pt idx="56">
                  <c:v>-17.791212923103267</c:v>
                </c:pt>
                <c:pt idx="57">
                  <c:v>-19.594256854835152</c:v>
                </c:pt>
                <c:pt idx="58">
                  <c:v>-20.914825153190804</c:v>
                </c:pt>
                <c:pt idx="59">
                  <c:v>-21.720401043949806</c:v>
                </c:pt>
                <c:pt idx="60">
                  <c:v>-21.991148575128552</c:v>
                </c:pt>
                <c:pt idx="61">
                  <c:v>-21.720401043949895</c:v>
                </c:pt>
                <c:pt idx="62">
                  <c:v>-20.914825153190989</c:v>
                </c:pt>
                <c:pt idx="63">
                  <c:v>-19.594256854835422</c:v>
                </c:pt>
                <c:pt idx="64">
                  <c:v>-17.791212923103597</c:v>
                </c:pt>
                <c:pt idx="65">
                  <c:v>-15.550090283554521</c:v>
                </c:pt>
                <c:pt idx="66">
                  <c:v>-12.926072813433487</c:v>
                </c:pt>
                <c:pt idx="67">
                  <c:v>-9.9837725314695707</c:v>
                </c:pt>
                <c:pt idx="68">
                  <c:v>-6.7956386355395137</c:v>
                </c:pt>
                <c:pt idx="69">
                  <c:v>-3.4401735629708461</c:v>
                </c:pt>
                <c:pt idx="70">
                  <c:v>-4.0007111937143642E-13</c:v>
                </c:pt>
                <c:pt idx="71">
                  <c:v>3.4401735629700947</c:v>
                </c:pt>
                <c:pt idx="72">
                  <c:v>6.7956386355387535</c:v>
                </c:pt>
                <c:pt idx="73">
                  <c:v>9.9837725314688601</c:v>
                </c:pt>
                <c:pt idx="74">
                  <c:v>12.926072813432841</c:v>
                </c:pt>
                <c:pt idx="75">
                  <c:v>15.550090283553958</c:v>
                </c:pt>
                <c:pt idx="76">
                  <c:v>17.791212923103124</c:v>
                </c:pt>
                <c:pt idx="77">
                  <c:v>19.594256854835059</c:v>
                </c:pt>
                <c:pt idx="78">
                  <c:v>20.914825153190744</c:v>
                </c:pt>
                <c:pt idx="79">
                  <c:v>21.720401043949767</c:v>
                </c:pt>
                <c:pt idx="80">
                  <c:v>21.991148575128552</c:v>
                </c:pt>
                <c:pt idx="81">
                  <c:v>21.720401043949931</c:v>
                </c:pt>
                <c:pt idx="82">
                  <c:v>20.914825153191053</c:v>
                </c:pt>
                <c:pt idx="83">
                  <c:v>19.594256854835514</c:v>
                </c:pt>
                <c:pt idx="84">
                  <c:v>17.791212923103735</c:v>
                </c:pt>
                <c:pt idx="85">
                  <c:v>15.55009028355469</c:v>
                </c:pt>
                <c:pt idx="86">
                  <c:v>12.926072813433681</c:v>
                </c:pt>
                <c:pt idx="87">
                  <c:v>9.9837725314697483</c:v>
                </c:pt>
                <c:pt idx="88">
                  <c:v>6.7956386355397012</c:v>
                </c:pt>
                <c:pt idx="89">
                  <c:v>3.4401735629710801</c:v>
                </c:pt>
                <c:pt idx="90">
                  <c:v>6.3715012460746497E-13</c:v>
                </c:pt>
                <c:pt idx="91">
                  <c:v>-3.4401735629698211</c:v>
                </c:pt>
                <c:pt idx="92">
                  <c:v>-6.7956386355384897</c:v>
                </c:pt>
                <c:pt idx="93">
                  <c:v>-9.9837725314686487</c:v>
                </c:pt>
                <c:pt idx="94">
                  <c:v>-12.926072813432651</c:v>
                </c:pt>
                <c:pt idx="95">
                  <c:v>-15.550090283553788</c:v>
                </c:pt>
                <c:pt idx="96">
                  <c:v>-17.791212923102986</c:v>
                </c:pt>
                <c:pt idx="97">
                  <c:v>-19.594256854834935</c:v>
                </c:pt>
                <c:pt idx="98">
                  <c:v>-20.914825153190673</c:v>
                </c:pt>
                <c:pt idx="99">
                  <c:v>-21.720401043949728</c:v>
                </c:pt>
                <c:pt idx="100">
                  <c:v>-21.991148575128552</c:v>
                </c:pt>
                <c:pt idx="101">
                  <c:v>-21.72040104394997</c:v>
                </c:pt>
                <c:pt idx="102">
                  <c:v>-20.914825153191124</c:v>
                </c:pt>
                <c:pt idx="103">
                  <c:v>-19.594256854835638</c:v>
                </c:pt>
                <c:pt idx="104">
                  <c:v>-17.791212923103878</c:v>
                </c:pt>
                <c:pt idx="105">
                  <c:v>-15.550090283554885</c:v>
                </c:pt>
                <c:pt idx="106">
                  <c:v>-12.926072813433869</c:v>
                </c:pt>
                <c:pt idx="107">
                  <c:v>-9.9837725314699597</c:v>
                </c:pt>
                <c:pt idx="108">
                  <c:v>-6.7956386355399632</c:v>
                </c:pt>
                <c:pt idx="109">
                  <c:v>-3.4401735629713146</c:v>
                </c:pt>
                <c:pt idx="110">
                  <c:v>-9.1329325702119012E-13</c:v>
                </c:pt>
                <c:pt idx="111">
                  <c:v>3.440173562969588</c:v>
                </c:pt>
                <c:pt idx="112">
                  <c:v>6.7956386355383005</c:v>
                </c:pt>
                <c:pt idx="113">
                  <c:v>9.9837725314684036</c:v>
                </c:pt>
                <c:pt idx="114">
                  <c:v>12.926072813432457</c:v>
                </c:pt>
                <c:pt idx="115">
                  <c:v>15.550090283553594</c:v>
                </c:pt>
                <c:pt idx="116">
                  <c:v>17.791212923102847</c:v>
                </c:pt>
                <c:pt idx="117">
                  <c:v>19.594256854834846</c:v>
                </c:pt>
                <c:pt idx="118">
                  <c:v>20.914825153190584</c:v>
                </c:pt>
                <c:pt idx="119">
                  <c:v>21.720401043949693</c:v>
                </c:pt>
                <c:pt idx="120">
                  <c:v>21.991148575128552</c:v>
                </c:pt>
                <c:pt idx="121">
                  <c:v>21.720401043950005</c:v>
                </c:pt>
                <c:pt idx="122">
                  <c:v>20.914825153191199</c:v>
                </c:pt>
                <c:pt idx="123">
                  <c:v>19.594256854835749</c:v>
                </c:pt>
                <c:pt idx="124">
                  <c:v>17.791212923104016</c:v>
                </c:pt>
                <c:pt idx="125">
                  <c:v>15.550090283555054</c:v>
                </c:pt>
                <c:pt idx="126">
                  <c:v>12.926072813434065</c:v>
                </c:pt>
              </c:numCache>
            </c:numRef>
          </c:yVal>
          <c:smooth val="1"/>
        </c:ser>
        <c:ser>
          <c:idx val="1"/>
          <c:order val="1"/>
          <c:tx>
            <c:v>ω2</c:v>
          </c:tx>
          <c:spPr>
            <a:ln w="6350">
              <a:solidFill>
                <a:srgbClr val="00B0F0"/>
              </a:solidFill>
              <a:prstDash val="sysDash"/>
            </a:ln>
          </c:spPr>
          <c:marker>
            <c:symbol val="none"/>
          </c:marker>
          <c:xVal>
            <c:numRef>
              <c:f>Calculs!$K$23:$K$149</c:f>
              <c:numCache>
                <c:formatCode>0.000000</c:formatCode>
                <c:ptCount val="127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  <c:pt idx="121">
                  <c:v>0.21607142857142805</c:v>
                </c:pt>
                <c:pt idx="122">
                  <c:v>0.21785714285714233</c:v>
                </c:pt>
                <c:pt idx="123">
                  <c:v>0.21964285714285661</c:v>
                </c:pt>
                <c:pt idx="124">
                  <c:v>0.22142857142857089</c:v>
                </c:pt>
                <c:pt idx="125">
                  <c:v>0.22321428571428517</c:v>
                </c:pt>
                <c:pt idx="126">
                  <c:v>0.22499999999999945</c:v>
                </c:pt>
              </c:numCache>
            </c:numRef>
          </c:xVal>
          <c:yVal>
            <c:numRef>
              <c:f>Calculs!$Q$23:$Q$149</c:f>
              <c:numCache>
                <c:formatCode>0.000</c:formatCode>
                <c:ptCount val="127"/>
                <c:pt idx="0">
                  <c:v>21.991148575128552</c:v>
                </c:pt>
                <c:pt idx="1">
                  <c:v>21.720401043949849</c:v>
                </c:pt>
                <c:pt idx="2">
                  <c:v>20.91482515319089</c:v>
                </c:pt>
                <c:pt idx="3">
                  <c:v>19.594256854835269</c:v>
                </c:pt>
                <c:pt idx="4">
                  <c:v>17.791212923103412</c:v>
                </c:pt>
                <c:pt idx="5">
                  <c:v>15.550090283554283</c:v>
                </c:pt>
                <c:pt idx="6">
                  <c:v>12.926072813433198</c:v>
                </c:pt>
                <c:pt idx="7">
                  <c:v>9.9837725314692349</c:v>
                </c:pt>
                <c:pt idx="8">
                  <c:v>6.7956386355391292</c:v>
                </c:pt>
                <c:pt idx="9">
                  <c:v>3.4401735629704664</c:v>
                </c:pt>
                <c:pt idx="10">
                  <c:v>-3.5358948122878519E-15</c:v>
                </c:pt>
                <c:pt idx="11">
                  <c:v>-3.4401735629704744</c:v>
                </c:pt>
                <c:pt idx="12">
                  <c:v>-6.7956386355391363</c:v>
                </c:pt>
                <c:pt idx="13">
                  <c:v>-9.9837725314692403</c:v>
                </c:pt>
                <c:pt idx="14">
                  <c:v>-12.926072813433203</c:v>
                </c:pt>
                <c:pt idx="15">
                  <c:v>-15.550090283554288</c:v>
                </c:pt>
                <c:pt idx="16">
                  <c:v>-17.791212923103412</c:v>
                </c:pt>
                <c:pt idx="17">
                  <c:v>-19.594256854835272</c:v>
                </c:pt>
                <c:pt idx="18">
                  <c:v>-20.914825153190893</c:v>
                </c:pt>
                <c:pt idx="19">
                  <c:v>-21.720401043949849</c:v>
                </c:pt>
                <c:pt idx="20">
                  <c:v>-21.991148575128552</c:v>
                </c:pt>
                <c:pt idx="21">
                  <c:v>-21.720401043949845</c:v>
                </c:pt>
                <c:pt idx="22">
                  <c:v>-20.91482515319089</c:v>
                </c:pt>
                <c:pt idx="23">
                  <c:v>-19.594256854835265</c:v>
                </c:pt>
                <c:pt idx="24">
                  <c:v>-17.791212923103405</c:v>
                </c:pt>
                <c:pt idx="25">
                  <c:v>-15.550090283554271</c:v>
                </c:pt>
                <c:pt idx="26">
                  <c:v>-12.926072813433183</c:v>
                </c:pt>
                <c:pt idx="27">
                  <c:v>-9.9837725314692189</c:v>
                </c:pt>
                <c:pt idx="28">
                  <c:v>-6.7956386355391185</c:v>
                </c:pt>
                <c:pt idx="29">
                  <c:v>-3.4401735629704548</c:v>
                </c:pt>
                <c:pt idx="30">
                  <c:v>1.5490700334075641E-14</c:v>
                </c:pt>
                <c:pt idx="31">
                  <c:v>3.4401735629704855</c:v>
                </c:pt>
                <c:pt idx="32">
                  <c:v>6.7956386355391469</c:v>
                </c:pt>
                <c:pt idx="33">
                  <c:v>9.9837725314692474</c:v>
                </c:pt>
                <c:pt idx="34">
                  <c:v>12.926072813433208</c:v>
                </c:pt>
                <c:pt idx="35">
                  <c:v>15.550090283554294</c:v>
                </c:pt>
                <c:pt idx="36">
                  <c:v>17.791212923103416</c:v>
                </c:pt>
                <c:pt idx="37">
                  <c:v>19.594256854835269</c:v>
                </c:pt>
                <c:pt idx="38">
                  <c:v>20.914825153190883</c:v>
                </c:pt>
                <c:pt idx="39">
                  <c:v>21.720401043949842</c:v>
                </c:pt>
                <c:pt idx="40">
                  <c:v>21.991148575128552</c:v>
                </c:pt>
                <c:pt idx="41">
                  <c:v>21.721142314453012</c:v>
                </c:pt>
                <c:pt idx="42">
                  <c:v>21.208954718032157</c:v>
                </c:pt>
                <c:pt idx="43">
                  <c:v>20.696767121611302</c:v>
                </c:pt>
                <c:pt idx="44">
                  <c:v>20.184579525190447</c:v>
                </c:pt>
                <c:pt idx="45">
                  <c:v>19.672391928769589</c:v>
                </c:pt>
                <c:pt idx="46">
                  <c:v>19.160204332348734</c:v>
                </c:pt>
                <c:pt idx="47">
                  <c:v>18.648016735927879</c:v>
                </c:pt>
                <c:pt idx="48">
                  <c:v>18.13582913950702</c:v>
                </c:pt>
                <c:pt idx="49">
                  <c:v>17.623641543086165</c:v>
                </c:pt>
                <c:pt idx="50">
                  <c:v>17.111453946665311</c:v>
                </c:pt>
                <c:pt idx="51">
                  <c:v>16.599266350244456</c:v>
                </c:pt>
                <c:pt idx="52">
                  <c:v>16.087078753823597</c:v>
                </c:pt>
                <c:pt idx="53">
                  <c:v>15.574891157402742</c:v>
                </c:pt>
                <c:pt idx="54">
                  <c:v>15.062703560981886</c:v>
                </c:pt>
                <c:pt idx="55">
                  <c:v>14.550515964561029</c:v>
                </c:pt>
                <c:pt idx="56">
                  <c:v>14.038328368140174</c:v>
                </c:pt>
                <c:pt idx="57">
                  <c:v>13.526140771719318</c:v>
                </c:pt>
                <c:pt idx="58">
                  <c:v>13.013953175298463</c:v>
                </c:pt>
                <c:pt idx="59">
                  <c:v>12.501765578877604</c:v>
                </c:pt>
                <c:pt idx="60">
                  <c:v>11.989577982456749</c:v>
                </c:pt>
                <c:pt idx="61">
                  <c:v>11.477390386035893</c:v>
                </c:pt>
                <c:pt idx="62">
                  <c:v>10.965202789615038</c:v>
                </c:pt>
                <c:pt idx="63">
                  <c:v>10.453015193194183</c:v>
                </c:pt>
                <c:pt idx="64">
                  <c:v>9.9408275967733264</c:v>
                </c:pt>
                <c:pt idx="65">
                  <c:v>9.4286400003524715</c:v>
                </c:pt>
                <c:pt idx="66">
                  <c:v>8.9164524039316131</c:v>
                </c:pt>
                <c:pt idx="67">
                  <c:v>8.4042648075107582</c:v>
                </c:pt>
                <c:pt idx="68">
                  <c:v>7.8920772110899016</c:v>
                </c:pt>
                <c:pt idx="69">
                  <c:v>7.3798896146690467</c:v>
                </c:pt>
                <c:pt idx="70">
                  <c:v>6.86770201824819</c:v>
                </c:pt>
                <c:pt idx="71">
                  <c:v>6.3555144218273298</c:v>
                </c:pt>
                <c:pt idx="72">
                  <c:v>6.7956386355387535</c:v>
                </c:pt>
                <c:pt idx="73">
                  <c:v>9.9837725314688601</c:v>
                </c:pt>
                <c:pt idx="74">
                  <c:v>12.926072813432841</c:v>
                </c:pt>
                <c:pt idx="75">
                  <c:v>15.550090283553958</c:v>
                </c:pt>
                <c:pt idx="76">
                  <c:v>17.791212923103124</c:v>
                </c:pt>
                <c:pt idx="77">
                  <c:v>19.594256854835059</c:v>
                </c:pt>
                <c:pt idx="78">
                  <c:v>20.914825153190744</c:v>
                </c:pt>
                <c:pt idx="79">
                  <c:v>21.720401043949767</c:v>
                </c:pt>
                <c:pt idx="80">
                  <c:v>21.991148575128552</c:v>
                </c:pt>
                <c:pt idx="81">
                  <c:v>21.721142314453083</c:v>
                </c:pt>
                <c:pt idx="82">
                  <c:v>21.208954718032224</c:v>
                </c:pt>
                <c:pt idx="83">
                  <c:v>20.696767121611369</c:v>
                </c:pt>
                <c:pt idx="84">
                  <c:v>20.184579525190514</c:v>
                </c:pt>
                <c:pt idx="85">
                  <c:v>19.672391928769656</c:v>
                </c:pt>
                <c:pt idx="86">
                  <c:v>19.160204332348801</c:v>
                </c:pt>
                <c:pt idx="87">
                  <c:v>18.648016735927946</c:v>
                </c:pt>
                <c:pt idx="88">
                  <c:v>18.135829139507088</c:v>
                </c:pt>
                <c:pt idx="89">
                  <c:v>17.623641543086233</c:v>
                </c:pt>
                <c:pt idx="90">
                  <c:v>17.111453946665378</c:v>
                </c:pt>
                <c:pt idx="91">
                  <c:v>16.59926635024452</c:v>
                </c:pt>
                <c:pt idx="92">
                  <c:v>16.087078753823665</c:v>
                </c:pt>
                <c:pt idx="93">
                  <c:v>15.57489115740281</c:v>
                </c:pt>
                <c:pt idx="94">
                  <c:v>15.062703560981955</c:v>
                </c:pt>
                <c:pt idx="95">
                  <c:v>14.550515964561097</c:v>
                </c:pt>
                <c:pt idx="96">
                  <c:v>14.038328368140242</c:v>
                </c:pt>
                <c:pt idx="97">
                  <c:v>13.526140771719385</c:v>
                </c:pt>
                <c:pt idx="98">
                  <c:v>13.01395317529853</c:v>
                </c:pt>
                <c:pt idx="99">
                  <c:v>12.501765578877674</c:v>
                </c:pt>
                <c:pt idx="100">
                  <c:v>11.989577982456817</c:v>
                </c:pt>
                <c:pt idx="101">
                  <c:v>11.477390386035962</c:v>
                </c:pt>
                <c:pt idx="102">
                  <c:v>10.965202789615105</c:v>
                </c:pt>
                <c:pt idx="103">
                  <c:v>10.453015193194251</c:v>
                </c:pt>
                <c:pt idx="104">
                  <c:v>9.9408275967733939</c:v>
                </c:pt>
                <c:pt idx="105">
                  <c:v>9.428640000352539</c:v>
                </c:pt>
                <c:pt idx="106">
                  <c:v>8.9164524039316806</c:v>
                </c:pt>
                <c:pt idx="107">
                  <c:v>8.4042648075108257</c:v>
                </c:pt>
                <c:pt idx="108">
                  <c:v>7.8920772110899691</c:v>
                </c:pt>
                <c:pt idx="109">
                  <c:v>7.3798896146691142</c:v>
                </c:pt>
                <c:pt idx="110">
                  <c:v>6.8677020182482575</c:v>
                </c:pt>
                <c:pt idx="111">
                  <c:v>6.3555144218274027</c:v>
                </c:pt>
                <c:pt idx="112">
                  <c:v>6.7956386355383005</c:v>
                </c:pt>
                <c:pt idx="113">
                  <c:v>9.9837725314684036</c:v>
                </c:pt>
                <c:pt idx="114">
                  <c:v>12.926072813432457</c:v>
                </c:pt>
                <c:pt idx="115">
                  <c:v>15.550090283553594</c:v>
                </c:pt>
                <c:pt idx="116">
                  <c:v>17.791212923102847</c:v>
                </c:pt>
                <c:pt idx="117">
                  <c:v>19.594256854834846</c:v>
                </c:pt>
                <c:pt idx="118">
                  <c:v>20.914825153190584</c:v>
                </c:pt>
                <c:pt idx="119">
                  <c:v>21.720401043949693</c:v>
                </c:pt>
                <c:pt idx="120">
                  <c:v>21.991148575128552</c:v>
                </c:pt>
                <c:pt idx="121">
                  <c:v>21.721142314453154</c:v>
                </c:pt>
                <c:pt idx="122">
                  <c:v>21.208954718032295</c:v>
                </c:pt>
                <c:pt idx="123">
                  <c:v>20.69676712161144</c:v>
                </c:pt>
                <c:pt idx="124">
                  <c:v>20.184579525190586</c:v>
                </c:pt>
                <c:pt idx="125">
                  <c:v>19.672391928769727</c:v>
                </c:pt>
                <c:pt idx="126">
                  <c:v>19.160204332348872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370112"/>
        <c:axId val="103376384"/>
      </c:scatterChart>
      <c:valAx>
        <c:axId val="10337011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03154933975748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3376384"/>
        <c:crosses val="autoZero"/>
        <c:crossBetween val="midCat"/>
      </c:valAx>
      <c:valAx>
        <c:axId val="1033763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Vitesse </a:t>
                </a:r>
                <a:r>
                  <a:rPr lang="el-GR" sz="800"/>
                  <a:t>ω</a:t>
                </a:r>
                <a:r>
                  <a:rPr lang="fr-FR" sz="800"/>
                  <a:t> (rad/s)</a:t>
                </a:r>
              </a:p>
            </c:rich>
          </c:tx>
          <c:layout>
            <c:manualLayout>
              <c:xMode val="edge"/>
              <c:yMode val="edge"/>
              <c:x val="8.0822312641454803E-3"/>
              <c:y val="0.33912999999999999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3370112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042874015394954"/>
          <c:y val="0.32051388888888888"/>
          <c:w val="0.12253560933366082"/>
          <c:h val="0.25517000000000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Effort sur dents et sur crémaillère</a:t>
            </a:r>
          </a:p>
        </c:rich>
      </c:tx>
      <c:layout>
        <c:manualLayout>
          <c:xMode val="edge"/>
          <c:yMode val="edge"/>
          <c:x val="0.382126295778436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07474712499811"/>
          <c:y val="0.10023166666666666"/>
          <c:w val="0.67876306194282399"/>
          <c:h val="0.82937481773111699"/>
        </c:manualLayout>
      </c:layout>
      <c:scatterChart>
        <c:scatterStyle val="lineMarker"/>
        <c:varyColors val="0"/>
        <c:ser>
          <c:idx val="1"/>
          <c:order val="0"/>
          <c:tx>
            <c:v>Fd</c:v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Calculs!$K$23:$K$149</c:f>
              <c:numCache>
                <c:formatCode>0.000000</c:formatCode>
                <c:ptCount val="127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  <c:pt idx="121">
                  <c:v>0.21607142857142805</c:v>
                </c:pt>
                <c:pt idx="122">
                  <c:v>0.21785714285714233</c:v>
                </c:pt>
                <c:pt idx="123">
                  <c:v>0.21964285714285661</c:v>
                </c:pt>
                <c:pt idx="124">
                  <c:v>0.22142857142857089</c:v>
                </c:pt>
                <c:pt idx="125">
                  <c:v>0.22321428571428517</c:v>
                </c:pt>
                <c:pt idx="126">
                  <c:v>0.22499999999999945</c:v>
                </c:pt>
              </c:numCache>
            </c:numRef>
          </c:xVal>
          <c:yVal>
            <c:numRef>
              <c:f>Calculs!$T$23:$T$149</c:f>
              <c:numCache>
                <c:formatCode>0.000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24.292976812578122</c:v>
                </c:pt>
                <c:pt idx="31">
                  <c:v>24.014327310743507</c:v>
                </c:pt>
                <c:pt idx="32">
                  <c:v>23.185240080759527</c:v>
                </c:pt>
                <c:pt idx="33">
                  <c:v>21.826130001811151</c:v>
                </c:pt>
                <c:pt idx="34">
                  <c:v>19.970462874669821</c:v>
                </c:pt>
                <c:pt idx="35">
                  <c:v>17.663931382611867</c:v>
                </c:pt>
                <c:pt idx="36">
                  <c:v>14.963329985910914</c:v>
                </c:pt>
                <c:pt idx="37">
                  <c:v>11.935156453735919</c:v>
                </c:pt>
                <c:pt idx="38">
                  <c:v>8.6539744683807935</c:v>
                </c:pt>
                <c:pt idx="39">
                  <c:v>5.2005776199436333</c:v>
                </c:pt>
                <c:pt idx="40">
                  <c:v>1.6600000000000459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24.014327310743575</c:v>
                </c:pt>
                <c:pt idx="72">
                  <c:v>23.185240080759662</c:v>
                </c:pt>
                <c:pt idx="73">
                  <c:v>21.826130001811354</c:v>
                </c:pt>
                <c:pt idx="74">
                  <c:v>19.970462874670098</c:v>
                </c:pt>
                <c:pt idx="75">
                  <c:v>17.663931382612216</c:v>
                </c:pt>
                <c:pt idx="76">
                  <c:v>14.963329985911322</c:v>
                </c:pt>
                <c:pt idx="77">
                  <c:v>11.935156453736337</c:v>
                </c:pt>
                <c:pt idx="78">
                  <c:v>8.6539744683812376</c:v>
                </c:pt>
                <c:pt idx="79">
                  <c:v>5.2005776199441147</c:v>
                </c:pt>
                <c:pt idx="80">
                  <c:v>1.6600000000005335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24.014327310743653</c:v>
                </c:pt>
                <c:pt idx="112">
                  <c:v>23.185240080759815</c:v>
                </c:pt>
                <c:pt idx="113">
                  <c:v>21.826130001811592</c:v>
                </c:pt>
                <c:pt idx="114">
                  <c:v>19.970462874670382</c:v>
                </c:pt>
                <c:pt idx="115">
                  <c:v>17.663931382612589</c:v>
                </c:pt>
                <c:pt idx="116">
                  <c:v>14.963329985911718</c:v>
                </c:pt>
                <c:pt idx="117">
                  <c:v>11.93515645373677</c:v>
                </c:pt>
                <c:pt idx="118">
                  <c:v>8.6539744683817403</c:v>
                </c:pt>
                <c:pt idx="119">
                  <c:v>5.2005776199445979</c:v>
                </c:pt>
                <c:pt idx="120">
                  <c:v>1.660000000001062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Fc</c:v>
          </c:tx>
          <c:spPr>
            <a:ln w="19050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Calculs!$K$23:$K$149</c:f>
              <c:numCache>
                <c:formatCode>0.000000</c:formatCode>
                <c:ptCount val="127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  <c:pt idx="121">
                  <c:v>0.21607142857142805</c:v>
                </c:pt>
                <c:pt idx="122">
                  <c:v>0.21785714285714233</c:v>
                </c:pt>
                <c:pt idx="123">
                  <c:v>0.21964285714285661</c:v>
                </c:pt>
                <c:pt idx="124">
                  <c:v>0.22142857142857089</c:v>
                </c:pt>
                <c:pt idx="125">
                  <c:v>0.22321428571428517</c:v>
                </c:pt>
                <c:pt idx="126">
                  <c:v>0.22499999999999945</c:v>
                </c:pt>
              </c:numCache>
            </c:numRef>
          </c:xVal>
          <c:yVal>
            <c:numRef>
              <c:f>Calculs!$U$23:$U$149</c:f>
              <c:numCache>
                <c:formatCode>0.000</c:formatCode>
                <c:ptCount val="127"/>
                <c:pt idx="0">
                  <c:v>0</c:v>
                </c:pt>
                <c:pt idx="1">
                  <c:v>-0.24209077743204155</c:v>
                </c:pt>
                <c:pt idx="2">
                  <c:v>-0.47822047647047983</c:v>
                </c:pt>
                <c:pt idx="3">
                  <c:v>-0.70257480025544705</c:v>
                </c:pt>
                <c:pt idx="4">
                  <c:v>-0.90962940074604604</c:v>
                </c:pt>
                <c:pt idx="5">
                  <c:v>-1.0942859065033763</c:v>
                </c:pt>
                <c:pt idx="6">
                  <c:v>-1.2519974615158858</c:v>
                </c:pt>
                <c:pt idx="7">
                  <c:v>-1.3788806838845233</c:v>
                </c:pt>
                <c:pt idx="8">
                  <c:v>-1.4718112875733016</c:v>
                </c:pt>
                <c:pt idx="9">
                  <c:v>-1.5285010127004111</c:v>
                </c:pt>
                <c:pt idx="10">
                  <c:v>-1.5475539700908116</c:v>
                </c:pt>
                <c:pt idx="11">
                  <c:v>-1.5285010127004108</c:v>
                </c:pt>
                <c:pt idx="12">
                  <c:v>-1.4718112875733014</c:v>
                </c:pt>
                <c:pt idx="13">
                  <c:v>-1.3788806838845229</c:v>
                </c:pt>
                <c:pt idx="14">
                  <c:v>-1.2519974615158853</c:v>
                </c:pt>
                <c:pt idx="15">
                  <c:v>-1.0942859065033761</c:v>
                </c:pt>
                <c:pt idx="16">
                  <c:v>-0.90962940074604559</c:v>
                </c:pt>
                <c:pt idx="17">
                  <c:v>-0.70257480025544672</c:v>
                </c:pt>
                <c:pt idx="18">
                  <c:v>-0.47822047647047938</c:v>
                </c:pt>
                <c:pt idx="19">
                  <c:v>-0.24209077743204102</c:v>
                </c:pt>
                <c:pt idx="20">
                  <c:v>4.9765368424351004E-16</c:v>
                </c:pt>
                <c:pt idx="21">
                  <c:v>0.24209077743204202</c:v>
                </c:pt>
                <c:pt idx="22">
                  <c:v>0.47822047647048033</c:v>
                </c:pt>
                <c:pt idx="23">
                  <c:v>0.70257480025544772</c:v>
                </c:pt>
                <c:pt idx="24">
                  <c:v>0.90962940074604648</c:v>
                </c:pt>
                <c:pt idx="25">
                  <c:v>1.0942859065033772</c:v>
                </c:pt>
                <c:pt idx="26">
                  <c:v>1.2519974615158862</c:v>
                </c:pt>
                <c:pt idx="27">
                  <c:v>1.3788806838845238</c:v>
                </c:pt>
                <c:pt idx="28">
                  <c:v>1.4718112875733018</c:v>
                </c:pt>
                <c:pt idx="29">
                  <c:v>1.5285010127004115</c:v>
                </c:pt>
                <c:pt idx="30">
                  <c:v>25.840530782668932</c:v>
                </c:pt>
                <c:pt idx="31">
                  <c:v>25.542828323443917</c:v>
                </c:pt>
                <c:pt idx="32">
                  <c:v>24.65705136833283</c:v>
                </c:pt>
                <c:pt idx="33">
                  <c:v>23.205010685695676</c:v>
                </c:pt>
                <c:pt idx="34">
                  <c:v>21.222460336185705</c:v>
                </c:pt>
                <c:pt idx="35">
                  <c:v>18.758217289115244</c:v>
                </c:pt>
                <c:pt idx="36">
                  <c:v>15.872959386656959</c:v>
                </c:pt>
                <c:pt idx="37">
                  <c:v>12.637731253991367</c:v>
                </c:pt>
                <c:pt idx="38">
                  <c:v>9.1321949448512747</c:v>
                </c:pt>
                <c:pt idx="39">
                  <c:v>5.4426683973756766</c:v>
                </c:pt>
                <c:pt idx="40">
                  <c:v>1.660000000000049</c:v>
                </c:pt>
                <c:pt idx="41">
                  <c:v>-0.24209077743203847</c:v>
                </c:pt>
                <c:pt idx="42">
                  <c:v>-0.47822047647047555</c:v>
                </c:pt>
                <c:pt idx="43">
                  <c:v>-0.70257480025544194</c:v>
                </c:pt>
                <c:pt idx="44">
                  <c:v>-0.90962940074604126</c:v>
                </c:pt>
                <c:pt idx="45">
                  <c:v>-1.0942859065033712</c:v>
                </c:pt>
                <c:pt idx="46">
                  <c:v>-1.2519974615158804</c:v>
                </c:pt>
                <c:pt idx="47">
                  <c:v>-1.3788806838845196</c:v>
                </c:pt>
                <c:pt idx="48">
                  <c:v>-1.4718112875732985</c:v>
                </c:pt>
                <c:pt idx="49">
                  <c:v>-1.5285010127004095</c:v>
                </c:pt>
                <c:pt idx="50">
                  <c:v>-1.5475539700908116</c:v>
                </c:pt>
                <c:pt idx="51">
                  <c:v>-1.5285010127004131</c:v>
                </c:pt>
                <c:pt idx="52">
                  <c:v>-1.4718112875733058</c:v>
                </c:pt>
                <c:pt idx="53">
                  <c:v>-1.3788806838845293</c:v>
                </c:pt>
                <c:pt idx="54">
                  <c:v>-1.2519974615158942</c:v>
                </c:pt>
                <c:pt idx="55">
                  <c:v>-1.0942859065033874</c:v>
                </c:pt>
                <c:pt idx="56">
                  <c:v>-0.9096294007460598</c:v>
                </c:pt>
                <c:pt idx="57">
                  <c:v>-0.70257480025546359</c:v>
                </c:pt>
                <c:pt idx="58">
                  <c:v>-0.4782204764704987</c:v>
                </c:pt>
                <c:pt idx="59">
                  <c:v>-0.24209077743205976</c:v>
                </c:pt>
                <c:pt idx="60">
                  <c:v>-1.9811851560386104E-14</c:v>
                </c:pt>
                <c:pt idx="61">
                  <c:v>0.24209077743202062</c:v>
                </c:pt>
                <c:pt idx="62">
                  <c:v>0.47822047647045846</c:v>
                </c:pt>
                <c:pt idx="63">
                  <c:v>0.70257480025542574</c:v>
                </c:pt>
                <c:pt idx="64">
                  <c:v>0.90962940074602783</c:v>
                </c:pt>
                <c:pt idx="65">
                  <c:v>1.0942859065033594</c:v>
                </c:pt>
                <c:pt idx="66">
                  <c:v>1.2519974615158707</c:v>
                </c:pt>
                <c:pt idx="67">
                  <c:v>1.3788806838845113</c:v>
                </c:pt>
                <c:pt idx="68">
                  <c:v>1.4718112875732927</c:v>
                </c:pt>
                <c:pt idx="69">
                  <c:v>1.5285010127004068</c:v>
                </c:pt>
                <c:pt idx="70">
                  <c:v>1.5475539700908116</c:v>
                </c:pt>
                <c:pt idx="71">
                  <c:v>25.542828323443992</c:v>
                </c:pt>
                <c:pt idx="72">
                  <c:v>24.657051368332972</c:v>
                </c:pt>
                <c:pt idx="73">
                  <c:v>23.205010685695889</c:v>
                </c:pt>
                <c:pt idx="74">
                  <c:v>21.222460336186003</c:v>
                </c:pt>
                <c:pt idx="75">
                  <c:v>18.758217289115613</c:v>
                </c:pt>
                <c:pt idx="76">
                  <c:v>15.872959386657396</c:v>
                </c:pt>
                <c:pt idx="77">
                  <c:v>12.637731253991813</c:v>
                </c:pt>
                <c:pt idx="78">
                  <c:v>9.132194944851749</c:v>
                </c:pt>
                <c:pt idx="79">
                  <c:v>5.4426683973761909</c:v>
                </c:pt>
                <c:pt idx="80">
                  <c:v>1.6600000000005699</c:v>
                </c:pt>
                <c:pt idx="81">
                  <c:v>-0.24209077743200413</c:v>
                </c:pt>
                <c:pt idx="82">
                  <c:v>-0.47822047647044513</c:v>
                </c:pt>
                <c:pt idx="83">
                  <c:v>-0.70257480025541341</c:v>
                </c:pt>
                <c:pt idx="84">
                  <c:v>-0.90962940074601439</c:v>
                </c:pt>
                <c:pt idx="85">
                  <c:v>-1.0942859065033477</c:v>
                </c:pt>
                <c:pt idx="86">
                  <c:v>-1.2519974615158609</c:v>
                </c:pt>
                <c:pt idx="87">
                  <c:v>-1.3788806838845049</c:v>
                </c:pt>
                <c:pt idx="88">
                  <c:v>-1.4718112875732885</c:v>
                </c:pt>
                <c:pt idx="89">
                  <c:v>-1.5285010127004044</c:v>
                </c:pt>
                <c:pt idx="90">
                  <c:v>-1.5475539700908116</c:v>
                </c:pt>
                <c:pt idx="91">
                  <c:v>-1.5285010127004182</c:v>
                </c:pt>
                <c:pt idx="92">
                  <c:v>-1.471811287573316</c:v>
                </c:pt>
                <c:pt idx="93">
                  <c:v>-1.3788806838845442</c:v>
                </c:pt>
                <c:pt idx="94">
                  <c:v>-1.2519974615159137</c:v>
                </c:pt>
                <c:pt idx="95">
                  <c:v>-1.094285906503411</c:v>
                </c:pt>
                <c:pt idx="96">
                  <c:v>-0.90962940074608678</c:v>
                </c:pt>
                <c:pt idx="97">
                  <c:v>-0.70257480025549324</c:v>
                </c:pt>
                <c:pt idx="98">
                  <c:v>-0.47822047647052784</c:v>
                </c:pt>
                <c:pt idx="99">
                  <c:v>-0.2420907774320927</c:v>
                </c:pt>
                <c:pt idx="100">
                  <c:v>-5.3179145180796882E-14</c:v>
                </c:pt>
                <c:pt idx="101">
                  <c:v>0.24209077743198762</c:v>
                </c:pt>
                <c:pt idx="102">
                  <c:v>0.47822047647042931</c:v>
                </c:pt>
                <c:pt idx="103">
                  <c:v>0.70257480025539609</c:v>
                </c:pt>
                <c:pt idx="104">
                  <c:v>0.90962940074600074</c:v>
                </c:pt>
                <c:pt idx="105">
                  <c:v>1.0942859065033337</c:v>
                </c:pt>
                <c:pt idx="106">
                  <c:v>1.2519974615158511</c:v>
                </c:pt>
                <c:pt idx="107">
                  <c:v>1.3788806838844974</c:v>
                </c:pt>
                <c:pt idx="108">
                  <c:v>1.4718112875732825</c:v>
                </c:pt>
                <c:pt idx="109">
                  <c:v>1.5285010127004017</c:v>
                </c:pt>
                <c:pt idx="110">
                  <c:v>1.5475539700908116</c:v>
                </c:pt>
                <c:pt idx="111">
                  <c:v>25.542828323444073</c:v>
                </c:pt>
                <c:pt idx="112">
                  <c:v>24.657051368333136</c:v>
                </c:pt>
                <c:pt idx="113">
                  <c:v>23.205010685696145</c:v>
                </c:pt>
                <c:pt idx="114">
                  <c:v>21.222460336186305</c:v>
                </c:pt>
                <c:pt idx="115">
                  <c:v>18.758217289116015</c:v>
                </c:pt>
                <c:pt idx="116">
                  <c:v>15.872959386657818</c:v>
                </c:pt>
                <c:pt idx="117">
                  <c:v>12.637731253992275</c:v>
                </c:pt>
                <c:pt idx="118">
                  <c:v>9.1321949448522872</c:v>
                </c:pt>
                <c:pt idx="119">
                  <c:v>5.4426683973767069</c:v>
                </c:pt>
                <c:pt idx="120">
                  <c:v>1.6600000000011346</c:v>
                </c:pt>
                <c:pt idx="121">
                  <c:v>-0.24209077743197119</c:v>
                </c:pt>
                <c:pt idx="122">
                  <c:v>-0.47822047647041338</c:v>
                </c:pt>
                <c:pt idx="123">
                  <c:v>-0.70257480025538122</c:v>
                </c:pt>
                <c:pt idx="124">
                  <c:v>-0.9096294007459873</c:v>
                </c:pt>
                <c:pt idx="125">
                  <c:v>-1.0942859065033221</c:v>
                </c:pt>
                <c:pt idx="126">
                  <c:v>-1.2519974615158413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98240"/>
        <c:axId val="104700160"/>
      </c:scatterChart>
      <c:valAx>
        <c:axId val="10469824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03154933975748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4700160"/>
        <c:crosses val="autoZero"/>
        <c:crossBetween val="midCat"/>
      </c:valAx>
      <c:valAx>
        <c:axId val="1047001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Effot  (N)</a:t>
                </a:r>
              </a:p>
            </c:rich>
          </c:tx>
          <c:layout>
            <c:manualLayout>
              <c:xMode val="edge"/>
              <c:yMode val="edge"/>
              <c:x val="8.0822312641454803E-3"/>
              <c:y val="0.33912999999999999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4698240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042874015394954"/>
          <c:y val="0.32051388888888888"/>
          <c:w val="0.1171306377102975"/>
          <c:h val="0.25517000000000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</xdr:colOff>
      <xdr:row>22</xdr:row>
      <xdr:rowOff>85726</xdr:rowOff>
    </xdr:from>
    <xdr:to>
      <xdr:col>9</xdr:col>
      <xdr:colOff>161925</xdr:colOff>
      <xdr:row>62</xdr:row>
      <xdr:rowOff>85725</xdr:rowOff>
    </xdr:to>
    <xdr:sp macro="" textlink="">
      <xdr:nvSpPr>
        <xdr:cNvPr id="94" name="Accolade ouvrante 93"/>
        <xdr:cNvSpPr/>
      </xdr:nvSpPr>
      <xdr:spPr>
        <a:xfrm>
          <a:off x="7096124" y="4343401"/>
          <a:ext cx="114301" cy="7619999"/>
        </a:xfrm>
        <a:prstGeom prst="lef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14287</xdr:colOff>
      <xdr:row>24</xdr:row>
      <xdr:rowOff>85725</xdr:rowOff>
    </xdr:from>
    <xdr:to>
      <xdr:col>6</xdr:col>
      <xdr:colOff>362362</xdr:colOff>
      <xdr:row>33</xdr:row>
      <xdr:rowOff>171225</xdr:rowOff>
    </xdr:to>
    <xdr:graphicFrame macro="">
      <xdr:nvGraphicFramePr>
        <xdr:cNvPr id="102" name="Graphique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14287</xdr:colOff>
      <xdr:row>34</xdr:row>
      <xdr:rowOff>133350</xdr:rowOff>
    </xdr:from>
    <xdr:to>
      <xdr:col>6</xdr:col>
      <xdr:colOff>362362</xdr:colOff>
      <xdr:row>44</xdr:row>
      <xdr:rowOff>28350</xdr:rowOff>
    </xdr:to>
    <xdr:graphicFrame macro="">
      <xdr:nvGraphicFramePr>
        <xdr:cNvPr id="103" name="Graphique 10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14287</xdr:colOff>
      <xdr:row>44</xdr:row>
      <xdr:rowOff>171450</xdr:rowOff>
    </xdr:from>
    <xdr:to>
      <xdr:col>6</xdr:col>
      <xdr:colOff>362362</xdr:colOff>
      <xdr:row>54</xdr:row>
      <xdr:rowOff>66450</xdr:rowOff>
    </xdr:to>
    <xdr:graphicFrame macro="">
      <xdr:nvGraphicFramePr>
        <xdr:cNvPr id="104" name="Graphique 10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14287</xdr:colOff>
      <xdr:row>55</xdr:row>
      <xdr:rowOff>38100</xdr:rowOff>
    </xdr:from>
    <xdr:to>
      <xdr:col>7</xdr:col>
      <xdr:colOff>409576</xdr:colOff>
      <xdr:row>64</xdr:row>
      <xdr:rowOff>123600</xdr:rowOff>
    </xdr:to>
    <xdr:graphicFrame macro="">
      <xdr:nvGraphicFramePr>
        <xdr:cNvPr id="108" name="Graphique 1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571498</xdr:colOff>
      <xdr:row>1</xdr:row>
      <xdr:rowOff>19050</xdr:rowOff>
    </xdr:from>
    <xdr:to>
      <xdr:col>7</xdr:col>
      <xdr:colOff>658948</xdr:colOff>
      <xdr:row>23</xdr:row>
      <xdr:rowOff>28575</xdr:rowOff>
    </xdr:to>
    <xdr:grpSp>
      <xdr:nvGrpSpPr>
        <xdr:cNvPr id="2" name="Groupe 1"/>
        <xdr:cNvGrpSpPr/>
      </xdr:nvGrpSpPr>
      <xdr:grpSpPr>
        <a:xfrm>
          <a:off x="571498" y="209550"/>
          <a:ext cx="5394236" cy="4254954"/>
          <a:chOff x="657223" y="209550"/>
          <a:chExt cx="5392875" cy="4257675"/>
        </a:xfrm>
      </xdr:grpSpPr>
      <xdr:sp macro="" textlink="">
        <xdr:nvSpPr>
          <xdr:cNvPr id="91" name="Rectangle 90"/>
          <xdr:cNvSpPr/>
        </xdr:nvSpPr>
        <xdr:spPr>
          <a:xfrm>
            <a:off x="3445579" y="2520950"/>
            <a:ext cx="147320" cy="304800"/>
          </a:xfrm>
          <a:prstGeom prst="rect">
            <a:avLst/>
          </a:prstGeom>
          <a:solidFill>
            <a:schemeClr val="bg1">
              <a:lumMod val="95000"/>
            </a:schemeClr>
          </a:solidFill>
          <a:ln w="1905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68" name="Rectangle 67"/>
          <xdr:cNvSpPr/>
        </xdr:nvSpPr>
        <xdr:spPr>
          <a:xfrm>
            <a:off x="3038475" y="1971675"/>
            <a:ext cx="276225" cy="352425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12700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" name="Rectangle 2"/>
          <xdr:cNvSpPr/>
        </xdr:nvSpPr>
        <xdr:spPr>
          <a:xfrm>
            <a:off x="2635150" y="1257330"/>
            <a:ext cx="288032" cy="1885920"/>
          </a:xfrm>
          <a:prstGeom prst="rect">
            <a:avLst/>
          </a:prstGeom>
          <a:solidFill>
            <a:schemeClr val="accent5">
              <a:lumMod val="40000"/>
              <a:lumOff val="60000"/>
            </a:schemeClr>
          </a:solidFill>
          <a:ln w="1905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4" name="Rectangle à coins arrondis 3"/>
          <xdr:cNvSpPr/>
        </xdr:nvSpPr>
        <xdr:spPr>
          <a:xfrm>
            <a:off x="2419350" y="209550"/>
            <a:ext cx="2981324" cy="1114425"/>
          </a:xfrm>
          <a:prstGeom prst="roundRect">
            <a:avLst/>
          </a:prstGeom>
          <a:noFill/>
          <a:ln w="6350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grpSp>
        <xdr:nvGrpSpPr>
          <xdr:cNvPr id="5" name="Groupe 4"/>
          <xdr:cNvGrpSpPr/>
        </xdr:nvGrpSpPr>
        <xdr:grpSpPr>
          <a:xfrm>
            <a:off x="2685414" y="1369695"/>
            <a:ext cx="182880" cy="1668780"/>
            <a:chOff x="3497580" y="1817370"/>
            <a:chExt cx="182880" cy="1668780"/>
          </a:xfrm>
        </xdr:grpSpPr>
        <xdr:cxnSp macro="">
          <xdr:nvCxnSpPr>
            <xdr:cNvPr id="46" name="Connecteur droit 45"/>
            <xdr:cNvCxnSpPr/>
          </xdr:nvCxnSpPr>
          <xdr:spPr>
            <a:xfrm>
              <a:off x="3497580" y="221470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Connecteur droit 46"/>
            <xdr:cNvCxnSpPr/>
          </xdr:nvCxnSpPr>
          <xdr:spPr>
            <a:xfrm>
              <a:off x="3497580" y="2294166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Connecteur droit 47"/>
            <xdr:cNvCxnSpPr/>
          </xdr:nvCxnSpPr>
          <xdr:spPr>
            <a:xfrm>
              <a:off x="3497580" y="2373632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Connecteur droit 48"/>
            <xdr:cNvCxnSpPr/>
          </xdr:nvCxnSpPr>
          <xdr:spPr>
            <a:xfrm>
              <a:off x="3497580" y="2453098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Connecteur droit 49"/>
            <xdr:cNvCxnSpPr/>
          </xdr:nvCxnSpPr>
          <xdr:spPr>
            <a:xfrm>
              <a:off x="3497580" y="2532564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" name="Connecteur droit 50"/>
            <xdr:cNvCxnSpPr/>
          </xdr:nvCxnSpPr>
          <xdr:spPr>
            <a:xfrm>
              <a:off x="3497580" y="261203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2" name="Connecteur droit 51"/>
            <xdr:cNvCxnSpPr/>
          </xdr:nvCxnSpPr>
          <xdr:spPr>
            <a:xfrm>
              <a:off x="3497580" y="2691496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3" name="Connecteur droit 52"/>
            <xdr:cNvCxnSpPr/>
          </xdr:nvCxnSpPr>
          <xdr:spPr>
            <a:xfrm>
              <a:off x="3497580" y="2770962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" name="Connecteur droit 53"/>
            <xdr:cNvCxnSpPr/>
          </xdr:nvCxnSpPr>
          <xdr:spPr>
            <a:xfrm>
              <a:off x="3497580" y="3247758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" name="Connecteur droit 54"/>
            <xdr:cNvCxnSpPr/>
          </xdr:nvCxnSpPr>
          <xdr:spPr>
            <a:xfrm>
              <a:off x="3497580" y="3327224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" name="Connecteur droit 55"/>
            <xdr:cNvCxnSpPr/>
          </xdr:nvCxnSpPr>
          <xdr:spPr>
            <a:xfrm>
              <a:off x="3497580" y="340669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7" name="Connecteur droit 56"/>
            <xdr:cNvCxnSpPr/>
          </xdr:nvCxnSpPr>
          <xdr:spPr>
            <a:xfrm>
              <a:off x="3509010" y="3486150"/>
              <a:ext cx="16002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8" name="Connecteur droit 57"/>
            <xdr:cNvCxnSpPr/>
          </xdr:nvCxnSpPr>
          <xdr:spPr>
            <a:xfrm>
              <a:off x="3497580" y="2850428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9" name="Connecteur droit 58"/>
            <xdr:cNvCxnSpPr/>
          </xdr:nvCxnSpPr>
          <xdr:spPr>
            <a:xfrm>
              <a:off x="3497580" y="2929894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0" name="Connecteur droit 59"/>
            <xdr:cNvCxnSpPr/>
          </xdr:nvCxnSpPr>
          <xdr:spPr>
            <a:xfrm>
              <a:off x="3497580" y="300936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1" name="Connecteur droit 60"/>
            <xdr:cNvCxnSpPr/>
          </xdr:nvCxnSpPr>
          <xdr:spPr>
            <a:xfrm>
              <a:off x="3497580" y="3088826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2" name="Connecteur droit 61"/>
            <xdr:cNvCxnSpPr/>
          </xdr:nvCxnSpPr>
          <xdr:spPr>
            <a:xfrm>
              <a:off x="3497580" y="3168292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" name="Connecteur droit 62"/>
            <xdr:cNvCxnSpPr/>
          </xdr:nvCxnSpPr>
          <xdr:spPr>
            <a:xfrm>
              <a:off x="3497580" y="181737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4" name="Connecteur droit 63"/>
            <xdr:cNvCxnSpPr/>
          </xdr:nvCxnSpPr>
          <xdr:spPr>
            <a:xfrm>
              <a:off x="3497580" y="1896836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5" name="Connecteur droit 64"/>
            <xdr:cNvCxnSpPr/>
          </xdr:nvCxnSpPr>
          <xdr:spPr>
            <a:xfrm>
              <a:off x="3497580" y="1976302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6" name="Connecteur droit 65"/>
            <xdr:cNvCxnSpPr/>
          </xdr:nvCxnSpPr>
          <xdr:spPr>
            <a:xfrm>
              <a:off x="3497580" y="2055768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7" name="Connecteur droit 66"/>
            <xdr:cNvCxnSpPr/>
          </xdr:nvCxnSpPr>
          <xdr:spPr>
            <a:xfrm>
              <a:off x="3497580" y="2135234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1" name="ZoneTexte 105"/>
          <xdr:cNvSpPr txBox="1"/>
        </xdr:nvSpPr>
        <xdr:spPr>
          <a:xfrm>
            <a:off x="2552697" y="295275"/>
            <a:ext cx="2724151" cy="369332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Système donnant le mouvement sinusoïdal. A = 1/2 course et </a:t>
            </a:r>
            <a:r>
              <a:rPr lang="el-GR" sz="1200"/>
              <a:t>ω</a:t>
            </a:r>
            <a:r>
              <a:rPr lang="fr-FR" sz="1200"/>
              <a:t> = pulsation crémaillère</a:t>
            </a:r>
          </a:p>
        </xdr:txBody>
      </xdr:sp>
      <xdr:cxnSp macro="">
        <xdr:nvCxnSpPr>
          <xdr:cNvPr id="35" name="Connecteur droit avec flèche 34"/>
          <xdr:cNvCxnSpPr/>
        </xdr:nvCxnSpPr>
        <xdr:spPr>
          <a:xfrm>
            <a:off x="3743324" y="676275"/>
            <a:ext cx="0" cy="447675"/>
          </a:xfrm>
          <a:prstGeom prst="straightConnector1">
            <a:avLst/>
          </a:prstGeom>
          <a:ln>
            <a:solidFill>
              <a:srgbClr val="0070C0"/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ZoneTexte 73"/>
          <xdr:cNvSpPr txBox="1"/>
        </xdr:nvSpPr>
        <xdr:spPr>
          <a:xfrm>
            <a:off x="3809998" y="781048"/>
            <a:ext cx="904875" cy="184666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>
                <a:solidFill>
                  <a:srgbClr val="0070C0"/>
                </a:solidFill>
              </a:rPr>
              <a:t>X = A.sin(</a:t>
            </a:r>
            <a:r>
              <a:rPr lang="el-GR" sz="1200">
                <a:solidFill>
                  <a:srgbClr val="0070C0"/>
                </a:solidFill>
              </a:rPr>
              <a:t>ω</a:t>
            </a:r>
            <a:r>
              <a:rPr lang="fr-FR" sz="1200">
                <a:solidFill>
                  <a:srgbClr val="0070C0"/>
                </a:solidFill>
              </a:rPr>
              <a:t>.t)</a:t>
            </a:r>
          </a:p>
        </xdr:txBody>
      </xdr:sp>
      <xdr:sp macro="" textlink="">
        <xdr:nvSpPr>
          <xdr:cNvPr id="81" name="Rectangle 80"/>
          <xdr:cNvSpPr/>
        </xdr:nvSpPr>
        <xdr:spPr>
          <a:xfrm>
            <a:off x="2635150" y="809655"/>
            <a:ext cx="288032" cy="1885920"/>
          </a:xfrm>
          <a:prstGeom prst="rect">
            <a:avLst/>
          </a:prstGeom>
          <a:noFill/>
          <a:ln w="9525">
            <a:prstDash val="dash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82" name="Rectangle 81"/>
          <xdr:cNvSpPr/>
        </xdr:nvSpPr>
        <xdr:spPr>
          <a:xfrm>
            <a:off x="2635150" y="1724055"/>
            <a:ext cx="288032" cy="1885920"/>
          </a:xfrm>
          <a:prstGeom prst="rect">
            <a:avLst/>
          </a:prstGeom>
          <a:noFill/>
          <a:ln w="9525">
            <a:prstDash val="dash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83" name="Connecteur droit avec flèche 82"/>
          <xdr:cNvCxnSpPr/>
        </xdr:nvCxnSpPr>
        <xdr:spPr>
          <a:xfrm>
            <a:off x="2733674" y="3152775"/>
            <a:ext cx="0" cy="447675"/>
          </a:xfrm>
          <a:prstGeom prst="straightConnector1">
            <a:avLst/>
          </a:prstGeom>
          <a:ln>
            <a:solidFill>
              <a:srgbClr val="0070C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Connecteur droit avec flèche 83"/>
          <xdr:cNvCxnSpPr/>
        </xdr:nvCxnSpPr>
        <xdr:spPr>
          <a:xfrm flipV="1">
            <a:off x="2733674" y="809625"/>
            <a:ext cx="0" cy="447675"/>
          </a:xfrm>
          <a:prstGeom prst="straightConnector1">
            <a:avLst/>
          </a:prstGeom>
          <a:ln>
            <a:solidFill>
              <a:srgbClr val="0070C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Rectangle à coins arrondis 14"/>
          <xdr:cNvSpPr/>
        </xdr:nvSpPr>
        <xdr:spPr>
          <a:xfrm>
            <a:off x="3159123" y="3044825"/>
            <a:ext cx="736602" cy="942975"/>
          </a:xfrm>
          <a:prstGeom prst="roundRect">
            <a:avLst/>
          </a:prstGeom>
          <a:noFill/>
          <a:ln w="1270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16" name="Rectangle 15"/>
          <xdr:cNvSpPr/>
        </xdr:nvSpPr>
        <xdr:spPr>
          <a:xfrm>
            <a:off x="3273706" y="3130550"/>
            <a:ext cx="491068" cy="765175"/>
          </a:xfrm>
          <a:prstGeom prst="rect">
            <a:avLst/>
          </a:prstGeom>
          <a:noFill/>
          <a:ln w="1270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17" name="Rectangle 16"/>
          <xdr:cNvSpPr/>
        </xdr:nvSpPr>
        <xdr:spPr>
          <a:xfrm>
            <a:off x="3445579" y="2825750"/>
            <a:ext cx="147320" cy="304800"/>
          </a:xfrm>
          <a:prstGeom prst="rect">
            <a:avLst/>
          </a:prstGeom>
          <a:solidFill>
            <a:schemeClr val="bg1">
              <a:lumMod val="95000"/>
            </a:schemeClr>
          </a:solidFill>
          <a:ln w="1270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7" name="Rectangle 6"/>
          <xdr:cNvSpPr/>
        </xdr:nvSpPr>
        <xdr:spPr>
          <a:xfrm>
            <a:off x="2825749" y="2082800"/>
            <a:ext cx="432000" cy="117475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9" name="Connecteur droit 8"/>
          <xdr:cNvCxnSpPr/>
        </xdr:nvCxnSpPr>
        <xdr:spPr>
          <a:xfrm flipH="1">
            <a:off x="3343274" y="2127250"/>
            <a:ext cx="177800" cy="479778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Connecteur droit 9"/>
          <xdr:cNvCxnSpPr/>
        </xdr:nvCxnSpPr>
        <xdr:spPr>
          <a:xfrm>
            <a:off x="3362324" y="1651000"/>
            <a:ext cx="325680" cy="93345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Forme libre 10"/>
          <xdr:cNvSpPr/>
        </xdr:nvSpPr>
        <xdr:spPr>
          <a:xfrm>
            <a:off x="3311524" y="1752600"/>
            <a:ext cx="171450" cy="768350"/>
          </a:xfrm>
          <a:custGeom>
            <a:avLst/>
            <a:gdLst>
              <a:gd name="connsiteX0" fmla="*/ 76200 w 165100"/>
              <a:gd name="connsiteY0" fmla="*/ 0 h 762000"/>
              <a:gd name="connsiteX1" fmla="*/ 0 w 165100"/>
              <a:gd name="connsiteY1" fmla="*/ 0 h 762000"/>
              <a:gd name="connsiteX2" fmla="*/ 0 w 165100"/>
              <a:gd name="connsiteY2" fmla="*/ 762000 h 762000"/>
              <a:gd name="connsiteX3" fmla="*/ 101600 w 165100"/>
              <a:gd name="connsiteY3" fmla="*/ 762000 h 762000"/>
              <a:gd name="connsiteX4" fmla="*/ 165100 w 165100"/>
              <a:gd name="connsiteY4" fmla="*/ 565150 h 762000"/>
              <a:gd name="connsiteX5" fmla="*/ 165100 w 165100"/>
              <a:gd name="connsiteY5" fmla="*/ 190500 h 762000"/>
              <a:gd name="connsiteX6" fmla="*/ 76200 w 165100"/>
              <a:gd name="connsiteY6" fmla="*/ 0 h 762000"/>
              <a:gd name="connsiteX0" fmla="*/ 95250 w 165100"/>
              <a:gd name="connsiteY0" fmla="*/ 0 h 768350"/>
              <a:gd name="connsiteX1" fmla="*/ 0 w 165100"/>
              <a:gd name="connsiteY1" fmla="*/ 6350 h 768350"/>
              <a:gd name="connsiteX2" fmla="*/ 0 w 165100"/>
              <a:gd name="connsiteY2" fmla="*/ 768350 h 768350"/>
              <a:gd name="connsiteX3" fmla="*/ 101600 w 165100"/>
              <a:gd name="connsiteY3" fmla="*/ 768350 h 768350"/>
              <a:gd name="connsiteX4" fmla="*/ 165100 w 165100"/>
              <a:gd name="connsiteY4" fmla="*/ 571500 h 768350"/>
              <a:gd name="connsiteX5" fmla="*/ 165100 w 165100"/>
              <a:gd name="connsiteY5" fmla="*/ 196850 h 768350"/>
              <a:gd name="connsiteX6" fmla="*/ 95250 w 165100"/>
              <a:gd name="connsiteY6" fmla="*/ 0 h 768350"/>
              <a:gd name="connsiteX0" fmla="*/ 95250 w 165100"/>
              <a:gd name="connsiteY0" fmla="*/ 0 h 768350"/>
              <a:gd name="connsiteX1" fmla="*/ 0 w 165100"/>
              <a:gd name="connsiteY1" fmla="*/ 6350 h 768350"/>
              <a:gd name="connsiteX2" fmla="*/ 0 w 165100"/>
              <a:gd name="connsiteY2" fmla="*/ 768350 h 768350"/>
              <a:gd name="connsiteX3" fmla="*/ 95250 w 165100"/>
              <a:gd name="connsiteY3" fmla="*/ 768350 h 768350"/>
              <a:gd name="connsiteX4" fmla="*/ 165100 w 165100"/>
              <a:gd name="connsiteY4" fmla="*/ 571500 h 768350"/>
              <a:gd name="connsiteX5" fmla="*/ 165100 w 165100"/>
              <a:gd name="connsiteY5" fmla="*/ 196850 h 768350"/>
              <a:gd name="connsiteX6" fmla="*/ 95250 w 165100"/>
              <a:gd name="connsiteY6" fmla="*/ 0 h 76835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</a:cxnLst>
            <a:rect l="l" t="t" r="r" b="b"/>
            <a:pathLst>
              <a:path w="165100" h="768350">
                <a:moveTo>
                  <a:pt x="95250" y="0"/>
                </a:moveTo>
                <a:lnTo>
                  <a:pt x="0" y="6350"/>
                </a:lnTo>
                <a:lnTo>
                  <a:pt x="0" y="768350"/>
                </a:lnTo>
                <a:lnTo>
                  <a:pt x="95250" y="768350"/>
                </a:lnTo>
                <a:lnTo>
                  <a:pt x="165100" y="571500"/>
                </a:lnTo>
                <a:lnTo>
                  <a:pt x="165100" y="196850"/>
                </a:lnTo>
                <a:lnTo>
                  <a:pt x="95250" y="0"/>
                </a:lnTo>
                <a:close/>
              </a:path>
            </a:pathLst>
          </a:custGeom>
          <a:noFill/>
          <a:ln w="9525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12" name="Forme libre 11"/>
          <xdr:cNvSpPr/>
        </xdr:nvSpPr>
        <xdr:spPr>
          <a:xfrm>
            <a:off x="3343274" y="2374900"/>
            <a:ext cx="355600" cy="146050"/>
          </a:xfrm>
          <a:custGeom>
            <a:avLst/>
            <a:gdLst>
              <a:gd name="connsiteX0" fmla="*/ 57150 w 355600"/>
              <a:gd name="connsiteY0" fmla="*/ 0 h 146050"/>
              <a:gd name="connsiteX1" fmla="*/ 311150 w 355600"/>
              <a:gd name="connsiteY1" fmla="*/ 0 h 146050"/>
              <a:gd name="connsiteX2" fmla="*/ 355600 w 355600"/>
              <a:gd name="connsiteY2" fmla="*/ 146050 h 146050"/>
              <a:gd name="connsiteX3" fmla="*/ 0 w 355600"/>
              <a:gd name="connsiteY3" fmla="*/ 146050 h 146050"/>
              <a:gd name="connsiteX4" fmla="*/ 57150 w 355600"/>
              <a:gd name="connsiteY4" fmla="*/ 0 h 14605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355600" h="146050">
                <a:moveTo>
                  <a:pt x="57150" y="0"/>
                </a:moveTo>
                <a:lnTo>
                  <a:pt x="311150" y="0"/>
                </a:lnTo>
                <a:lnTo>
                  <a:pt x="355600" y="146050"/>
                </a:lnTo>
                <a:lnTo>
                  <a:pt x="0" y="146050"/>
                </a:lnTo>
                <a:lnTo>
                  <a:pt x="57150" y="0"/>
                </a:lnTo>
                <a:close/>
              </a:path>
            </a:pathLst>
          </a:custGeom>
          <a:noFill/>
          <a:ln w="190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13" name="Connecteur droit 12"/>
          <xdr:cNvCxnSpPr/>
        </xdr:nvCxnSpPr>
        <xdr:spPr>
          <a:xfrm>
            <a:off x="3349624" y="1758950"/>
            <a:ext cx="127000" cy="330200"/>
          </a:xfrm>
          <a:prstGeom prst="line">
            <a:avLst/>
          </a:prstGeom>
          <a:ln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Connecteur droit 13"/>
          <xdr:cNvCxnSpPr/>
        </xdr:nvCxnSpPr>
        <xdr:spPr>
          <a:xfrm flipV="1">
            <a:off x="3349624" y="2178050"/>
            <a:ext cx="127000" cy="330200"/>
          </a:xfrm>
          <a:prstGeom prst="line">
            <a:avLst/>
          </a:prstGeom>
          <a:ln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ZoneTexte 103"/>
          <xdr:cNvSpPr txBox="1"/>
        </xdr:nvSpPr>
        <xdr:spPr>
          <a:xfrm>
            <a:off x="4610098" y="1390650"/>
            <a:ext cx="1438275" cy="37574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>
                <a:solidFill>
                  <a:schemeClr val="accent2">
                    <a:lumMod val="75000"/>
                  </a:schemeClr>
                </a:solidFill>
              </a:rPr>
              <a:t>Pignon 2</a:t>
            </a:r>
          </a:p>
          <a:p>
            <a:pPr algn="l"/>
            <a:r>
              <a:rPr lang="fr-FR" sz="1200">
                <a:solidFill>
                  <a:schemeClr val="accent2">
                    <a:lumMod val="75000"/>
                  </a:schemeClr>
                </a:solidFill>
              </a:rPr>
              <a:t>(rayon R2, inertie J2)</a:t>
            </a:r>
          </a:p>
        </xdr:txBody>
      </xdr:sp>
      <xdr:sp macro="" textlink="">
        <xdr:nvSpPr>
          <xdr:cNvPr id="20" name="ZoneTexte 104"/>
          <xdr:cNvSpPr txBox="1"/>
        </xdr:nvSpPr>
        <xdr:spPr>
          <a:xfrm>
            <a:off x="657223" y="2295525"/>
            <a:ext cx="1440000" cy="369332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fr-FR" sz="1200">
                <a:solidFill>
                  <a:srgbClr val="FF0000"/>
                </a:solidFill>
              </a:rPr>
              <a:t>Pignon 3</a:t>
            </a:r>
          </a:p>
          <a:p>
            <a:pPr algn="r"/>
            <a:r>
              <a:rPr lang="fr-FR" sz="1200">
                <a:solidFill>
                  <a:srgbClr val="FF0000"/>
                </a:solidFill>
              </a:rPr>
              <a:t>(rayon R3, inertie J3)</a:t>
            </a:r>
          </a:p>
        </xdr:txBody>
      </xdr:sp>
      <xdr:cxnSp macro="">
        <xdr:nvCxnSpPr>
          <xdr:cNvPr id="22" name="Connecteur droit avec flèche 21"/>
          <xdr:cNvCxnSpPr/>
        </xdr:nvCxnSpPr>
        <xdr:spPr>
          <a:xfrm flipH="1">
            <a:off x="3429001" y="1581150"/>
            <a:ext cx="1028699" cy="352425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Connecteur droit avec flèche 22"/>
          <xdr:cNvCxnSpPr/>
        </xdr:nvCxnSpPr>
        <xdr:spPr>
          <a:xfrm flipH="1" flipV="1">
            <a:off x="3657602" y="2486026"/>
            <a:ext cx="800098" cy="16192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Connecteur droit avec flèche 23"/>
          <xdr:cNvCxnSpPr/>
        </xdr:nvCxnSpPr>
        <xdr:spPr>
          <a:xfrm flipV="1">
            <a:off x="2162174" y="2286001"/>
            <a:ext cx="476250" cy="219075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ZoneTexte 117"/>
          <xdr:cNvSpPr txBox="1"/>
        </xdr:nvSpPr>
        <xdr:spPr>
          <a:xfrm>
            <a:off x="4267198" y="4261366"/>
            <a:ext cx="419102" cy="17728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Axe 1</a:t>
            </a:r>
          </a:p>
        </xdr:txBody>
      </xdr:sp>
      <xdr:cxnSp macro="">
        <xdr:nvCxnSpPr>
          <xdr:cNvPr id="26" name="Connecteur droit avec flèche 25"/>
          <xdr:cNvCxnSpPr/>
        </xdr:nvCxnSpPr>
        <xdr:spPr>
          <a:xfrm flipH="1" flipV="1">
            <a:off x="3524250" y="4133850"/>
            <a:ext cx="628649" cy="238125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ZoneTexte 119"/>
          <xdr:cNvSpPr txBox="1"/>
        </xdr:nvSpPr>
        <xdr:spPr>
          <a:xfrm>
            <a:off x="4610098" y="3390900"/>
            <a:ext cx="1440000" cy="619126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>
                <a:solidFill>
                  <a:srgbClr val="00B050"/>
                </a:solidFill>
              </a:rPr>
              <a:t>Générateur G</a:t>
            </a:r>
          </a:p>
          <a:p>
            <a:pPr algn="l"/>
            <a:r>
              <a:rPr lang="fr-FR" sz="1200">
                <a:solidFill>
                  <a:srgbClr val="00B050"/>
                </a:solidFill>
              </a:rPr>
              <a:t>(couple résistant Cg, inertie Jg, vitesse </a:t>
            </a:r>
            <a:r>
              <a:rPr lang="el-GR" sz="1200">
                <a:solidFill>
                  <a:srgbClr val="00B050"/>
                </a:solidFill>
              </a:rPr>
              <a:t>ω</a:t>
            </a:r>
            <a:r>
              <a:rPr lang="fr-FR" sz="1200">
                <a:solidFill>
                  <a:srgbClr val="00B050"/>
                </a:solidFill>
              </a:rPr>
              <a:t>g)</a:t>
            </a:r>
          </a:p>
        </xdr:txBody>
      </xdr:sp>
      <xdr:sp macro="" textlink="">
        <xdr:nvSpPr>
          <xdr:cNvPr id="28" name="ZoneTexte 120"/>
          <xdr:cNvSpPr txBox="1"/>
        </xdr:nvSpPr>
        <xdr:spPr>
          <a:xfrm>
            <a:off x="4610098" y="2419350"/>
            <a:ext cx="1438275" cy="37574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>
                <a:solidFill>
                  <a:srgbClr val="0070C0"/>
                </a:solidFill>
              </a:rPr>
              <a:t>Pignon 1</a:t>
            </a:r>
          </a:p>
          <a:p>
            <a:pPr algn="l"/>
            <a:r>
              <a:rPr lang="fr-FR" sz="1200">
                <a:solidFill>
                  <a:srgbClr val="0070C0"/>
                </a:solidFill>
              </a:rPr>
              <a:t>(rayon R1, inertie J1)</a:t>
            </a:r>
          </a:p>
        </xdr:txBody>
      </xdr:sp>
      <xdr:sp macro="" textlink="">
        <xdr:nvSpPr>
          <xdr:cNvPr id="30" name="ZoneTexte 124"/>
          <xdr:cNvSpPr txBox="1"/>
        </xdr:nvSpPr>
        <xdr:spPr>
          <a:xfrm>
            <a:off x="657223" y="3248025"/>
            <a:ext cx="1440000" cy="73866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fr-FR" sz="1200">
                <a:solidFill>
                  <a:srgbClr val="0070C0"/>
                </a:solidFill>
              </a:rPr>
              <a:t>Ensemble crémaillère à déplacement alternatif (masse M, course 2.A, fréquence f)</a:t>
            </a:r>
          </a:p>
        </xdr:txBody>
      </xdr:sp>
      <xdr:cxnSp macro="">
        <xdr:nvCxnSpPr>
          <xdr:cNvPr id="31" name="Connecteur droit avec flèche 30"/>
          <xdr:cNvCxnSpPr/>
        </xdr:nvCxnSpPr>
        <xdr:spPr>
          <a:xfrm flipV="1">
            <a:off x="2209799" y="3276601"/>
            <a:ext cx="419100" cy="17145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Connecteur droit avec flèche 31"/>
          <xdr:cNvCxnSpPr/>
        </xdr:nvCxnSpPr>
        <xdr:spPr>
          <a:xfrm flipH="1" flipV="1">
            <a:off x="3876676" y="3343278"/>
            <a:ext cx="495299" cy="21907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ZoneTexte 138"/>
          <xdr:cNvSpPr txBox="1"/>
        </xdr:nvSpPr>
        <xdr:spPr>
          <a:xfrm>
            <a:off x="4610098" y="2038349"/>
            <a:ext cx="1257300" cy="184666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/>
              <a:t>Rapport K = R1/R2</a:t>
            </a:r>
          </a:p>
        </xdr:txBody>
      </xdr:sp>
      <xdr:grpSp>
        <xdr:nvGrpSpPr>
          <xdr:cNvPr id="6" name="Groupe 5"/>
          <xdr:cNvGrpSpPr/>
        </xdr:nvGrpSpPr>
        <xdr:grpSpPr>
          <a:xfrm>
            <a:off x="2715259" y="1955800"/>
            <a:ext cx="132715" cy="355600"/>
            <a:chOff x="3966210" y="1879600"/>
            <a:chExt cx="148590" cy="355600"/>
          </a:xfrm>
        </xdr:grpSpPr>
        <xdr:sp macro="" textlink="">
          <xdr:nvSpPr>
            <xdr:cNvPr id="37" name="Rectangle 36"/>
            <xdr:cNvSpPr/>
          </xdr:nvSpPr>
          <xdr:spPr>
            <a:xfrm>
              <a:off x="3968750" y="1879600"/>
              <a:ext cx="146050" cy="355600"/>
            </a:xfrm>
            <a:prstGeom prst="rect">
              <a:avLst/>
            </a:prstGeom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fr-FR"/>
            </a:p>
          </xdr:txBody>
        </xdr:sp>
        <xdr:grpSp>
          <xdr:nvGrpSpPr>
            <xdr:cNvPr id="38" name="Groupe 37"/>
            <xdr:cNvGrpSpPr/>
          </xdr:nvGrpSpPr>
          <xdr:grpSpPr>
            <a:xfrm>
              <a:off x="3966210" y="1885950"/>
              <a:ext cx="129540" cy="332016"/>
              <a:chOff x="3794760" y="1885950"/>
              <a:chExt cx="182880" cy="332016"/>
            </a:xfrm>
          </xdr:grpSpPr>
          <xdr:cxnSp macro="">
            <xdr:nvCxnSpPr>
              <xdr:cNvPr id="39" name="Connecteur droit 38"/>
              <xdr:cNvCxnSpPr/>
            </xdr:nvCxnSpPr>
            <xdr:spPr>
              <a:xfrm>
                <a:off x="3794760" y="2170250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0" name="Connecteur droit 39"/>
              <xdr:cNvCxnSpPr/>
            </xdr:nvCxnSpPr>
            <xdr:spPr>
              <a:xfrm>
                <a:off x="3794760" y="2217966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1" name="Connecteur droit 40"/>
              <xdr:cNvCxnSpPr/>
            </xdr:nvCxnSpPr>
            <xdr:spPr>
              <a:xfrm>
                <a:off x="3794760" y="1885950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2" name="Connecteur droit 41"/>
              <xdr:cNvCxnSpPr/>
            </xdr:nvCxnSpPr>
            <xdr:spPr>
              <a:xfrm>
                <a:off x="3794760" y="1937476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3" name="Connecteur droit 42"/>
              <xdr:cNvCxnSpPr/>
            </xdr:nvCxnSpPr>
            <xdr:spPr>
              <a:xfrm>
                <a:off x="3794760" y="1994082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4" name="Connecteur droit 43"/>
              <xdr:cNvCxnSpPr/>
            </xdr:nvCxnSpPr>
            <xdr:spPr>
              <a:xfrm>
                <a:off x="3794760" y="2055768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5" name="Connecteur droit 44"/>
              <xdr:cNvCxnSpPr/>
            </xdr:nvCxnSpPr>
            <xdr:spPr>
              <a:xfrm>
                <a:off x="3794760" y="2123804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86" name="ZoneTexte 117"/>
          <xdr:cNvSpPr txBox="1"/>
        </xdr:nvSpPr>
        <xdr:spPr>
          <a:xfrm>
            <a:off x="2752724" y="923924"/>
            <a:ext cx="257176" cy="200025"/>
          </a:xfrm>
          <a:prstGeom prst="rect">
            <a:avLst/>
          </a:prstGeom>
          <a:solidFill>
            <a:schemeClr val="bg1"/>
          </a:solidFill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+ A</a:t>
            </a:r>
          </a:p>
        </xdr:txBody>
      </xdr:sp>
      <xdr:sp macro="" textlink="">
        <xdr:nvSpPr>
          <xdr:cNvPr id="87" name="ZoneTexte 117"/>
          <xdr:cNvSpPr txBox="1"/>
        </xdr:nvSpPr>
        <xdr:spPr>
          <a:xfrm>
            <a:off x="2762249" y="3267074"/>
            <a:ext cx="257176" cy="200025"/>
          </a:xfrm>
          <a:prstGeom prst="rect">
            <a:avLst/>
          </a:prstGeom>
          <a:solidFill>
            <a:schemeClr val="bg1"/>
          </a:solidFill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- A</a:t>
            </a:r>
          </a:p>
        </xdr:txBody>
      </xdr:sp>
      <xdr:cxnSp macro="">
        <xdr:nvCxnSpPr>
          <xdr:cNvPr id="8" name="Connecteur droit 7"/>
          <xdr:cNvCxnSpPr/>
        </xdr:nvCxnSpPr>
        <xdr:spPr>
          <a:xfrm flipV="1">
            <a:off x="2127249" y="2146817"/>
            <a:ext cx="1711325" cy="2659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Connecteur droit 69"/>
          <xdr:cNvCxnSpPr/>
        </xdr:nvCxnSpPr>
        <xdr:spPr>
          <a:xfrm>
            <a:off x="3086100" y="2047875"/>
            <a:ext cx="165600" cy="0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Connecteur droit 84"/>
          <xdr:cNvCxnSpPr/>
        </xdr:nvCxnSpPr>
        <xdr:spPr>
          <a:xfrm>
            <a:off x="3086100" y="2247900"/>
            <a:ext cx="165600" cy="0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0" name="ZoneTexte 104"/>
          <xdr:cNvSpPr txBox="1"/>
        </xdr:nvSpPr>
        <xdr:spPr>
          <a:xfrm>
            <a:off x="657223" y="1314450"/>
            <a:ext cx="1440000" cy="438150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fr-FR" sz="1200">
                <a:solidFill>
                  <a:schemeClr val="accent2">
                    <a:lumMod val="75000"/>
                  </a:schemeClr>
                </a:solidFill>
              </a:rPr>
              <a:t>Roue libre (à entraî-</a:t>
            </a:r>
            <a:r>
              <a:rPr lang="fr-FR" sz="1200" baseline="0">
                <a:solidFill>
                  <a:schemeClr val="accent2">
                    <a:lumMod val="75000"/>
                  </a:schemeClr>
                </a:solidFill>
              </a:rPr>
              <a:t> nement dans sens +A)</a:t>
            </a:r>
            <a:endParaRPr lang="fr-FR" sz="1200">
              <a:solidFill>
                <a:schemeClr val="accent2">
                  <a:lumMod val="75000"/>
                </a:schemeClr>
              </a:solidFill>
            </a:endParaRPr>
          </a:p>
        </xdr:txBody>
      </xdr:sp>
      <xdr:sp macro="" textlink="">
        <xdr:nvSpPr>
          <xdr:cNvPr id="92" name="Rectangle 91"/>
          <xdr:cNvSpPr/>
        </xdr:nvSpPr>
        <xdr:spPr>
          <a:xfrm>
            <a:off x="3114178" y="2682875"/>
            <a:ext cx="810122" cy="155576"/>
          </a:xfrm>
          <a:prstGeom prst="rect">
            <a:avLst/>
          </a:prstGeom>
          <a:solidFill>
            <a:schemeClr val="bg1">
              <a:lumMod val="95000"/>
            </a:schemeClr>
          </a:solidFill>
          <a:ln w="1905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18" name="Connecteur droit 17"/>
          <xdr:cNvCxnSpPr/>
        </xdr:nvCxnSpPr>
        <xdr:spPr>
          <a:xfrm flipH="1">
            <a:off x="3525837" y="2000250"/>
            <a:ext cx="1587" cy="2466975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Connecteur droit avec flèche 92"/>
          <xdr:cNvCxnSpPr/>
        </xdr:nvCxnSpPr>
        <xdr:spPr>
          <a:xfrm flipH="1" flipV="1">
            <a:off x="3905254" y="2743201"/>
            <a:ext cx="638171" cy="266699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6" name="ZoneTexte 120"/>
          <xdr:cNvSpPr txBox="1"/>
        </xdr:nvSpPr>
        <xdr:spPr>
          <a:xfrm>
            <a:off x="4610098" y="2828925"/>
            <a:ext cx="1438275" cy="37574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>
                <a:solidFill>
                  <a:srgbClr val="0070C0"/>
                </a:solidFill>
              </a:rPr>
              <a:t>Volant</a:t>
            </a:r>
          </a:p>
          <a:p>
            <a:pPr algn="l"/>
            <a:r>
              <a:rPr lang="fr-FR" sz="1200">
                <a:solidFill>
                  <a:srgbClr val="0070C0"/>
                </a:solidFill>
              </a:rPr>
              <a:t>(inertie Jv)</a:t>
            </a:r>
          </a:p>
        </xdr:txBody>
      </xdr:sp>
      <xdr:sp macro="" textlink="">
        <xdr:nvSpPr>
          <xdr:cNvPr id="77" name="Forme libre 76"/>
          <xdr:cNvSpPr/>
        </xdr:nvSpPr>
        <xdr:spPr>
          <a:xfrm>
            <a:off x="2219325" y="1562100"/>
            <a:ext cx="942975" cy="466725"/>
          </a:xfrm>
          <a:custGeom>
            <a:avLst/>
            <a:gdLst>
              <a:gd name="connsiteX0" fmla="*/ 0 w 942975"/>
              <a:gd name="connsiteY0" fmla="*/ 0 h 428625"/>
              <a:gd name="connsiteX1" fmla="*/ 828675 w 942975"/>
              <a:gd name="connsiteY1" fmla="*/ 0 h 428625"/>
              <a:gd name="connsiteX2" fmla="*/ 942975 w 942975"/>
              <a:gd name="connsiteY2" fmla="*/ 428625 h 4286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942975" h="428625">
                <a:moveTo>
                  <a:pt x="0" y="0"/>
                </a:moveTo>
                <a:lnTo>
                  <a:pt x="828675" y="0"/>
                </a:lnTo>
                <a:lnTo>
                  <a:pt x="942975" y="428625"/>
                </a:lnTo>
              </a:path>
            </a:pathLst>
          </a:custGeom>
          <a:noFill/>
          <a:ln w="9525"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13" name="Connecteur droit avec flèche 112"/>
          <xdr:cNvCxnSpPr/>
        </xdr:nvCxnSpPr>
        <xdr:spPr>
          <a:xfrm flipH="1">
            <a:off x="3457577" y="2133600"/>
            <a:ext cx="1076323" cy="20955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9" name="ZoneTexte 117"/>
          <xdr:cNvSpPr txBox="1"/>
        </xdr:nvSpPr>
        <xdr:spPr>
          <a:xfrm>
            <a:off x="2200273" y="1984891"/>
            <a:ext cx="419102" cy="17728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Axe 2</a:t>
            </a:r>
          </a:p>
        </xdr:txBody>
      </xdr:sp>
    </xdr:grpSp>
    <xdr:clientData/>
  </xdr:twoCellAnchor>
  <xdr:twoCellAnchor>
    <xdr:from>
      <xdr:col>9</xdr:col>
      <xdr:colOff>47624</xdr:colOff>
      <xdr:row>62</xdr:row>
      <xdr:rowOff>142876</xdr:rowOff>
    </xdr:from>
    <xdr:to>
      <xdr:col>9</xdr:col>
      <xdr:colOff>161925</xdr:colOff>
      <xdr:row>102</xdr:row>
      <xdr:rowOff>66676</xdr:rowOff>
    </xdr:to>
    <xdr:sp macro="" textlink="">
      <xdr:nvSpPr>
        <xdr:cNvPr id="97" name="Accolade ouvrante 96"/>
        <xdr:cNvSpPr/>
      </xdr:nvSpPr>
      <xdr:spPr>
        <a:xfrm>
          <a:off x="7096124" y="12020551"/>
          <a:ext cx="114301" cy="7543800"/>
        </a:xfrm>
        <a:prstGeom prst="lef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47624</xdr:colOff>
      <xdr:row>102</xdr:row>
      <xdr:rowOff>95250</xdr:rowOff>
    </xdr:from>
    <xdr:to>
      <xdr:col>9</xdr:col>
      <xdr:colOff>161925</xdr:colOff>
      <xdr:row>142</xdr:row>
      <xdr:rowOff>152399</xdr:rowOff>
    </xdr:to>
    <xdr:sp macro="" textlink="">
      <xdr:nvSpPr>
        <xdr:cNvPr id="98" name="Accolade ouvrante 97"/>
        <xdr:cNvSpPr/>
      </xdr:nvSpPr>
      <xdr:spPr>
        <a:xfrm>
          <a:off x="7096124" y="19592925"/>
          <a:ext cx="114301" cy="7677149"/>
        </a:xfrm>
        <a:prstGeom prst="lef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67</xdr:row>
          <xdr:rowOff>171450</xdr:rowOff>
        </xdr:from>
        <xdr:to>
          <xdr:col>6</xdr:col>
          <xdr:colOff>657225</xdr:colOff>
          <xdr:row>69</xdr:row>
          <xdr:rowOff>38100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704850</xdr:colOff>
      <xdr:row>66</xdr:row>
      <xdr:rowOff>123825</xdr:rowOff>
    </xdr:from>
    <xdr:to>
      <xdr:col>4</xdr:col>
      <xdr:colOff>38100</xdr:colOff>
      <xdr:row>71</xdr:row>
      <xdr:rowOff>76200</xdr:rowOff>
    </xdr:to>
    <xdr:sp macro="" textlink="">
      <xdr:nvSpPr>
        <xdr:cNvPr id="29" name="Accolade ouvrante 28"/>
        <xdr:cNvSpPr/>
      </xdr:nvSpPr>
      <xdr:spPr>
        <a:xfrm>
          <a:off x="2962275" y="12753975"/>
          <a:ext cx="95250" cy="9048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15</xdr:col>
      <xdr:colOff>495300</xdr:colOff>
      <xdr:row>16</xdr:row>
      <xdr:rowOff>66675</xdr:rowOff>
    </xdr:from>
    <xdr:to>
      <xdr:col>15</xdr:col>
      <xdr:colOff>495300</xdr:colOff>
      <xdr:row>17</xdr:row>
      <xdr:rowOff>171450</xdr:rowOff>
    </xdr:to>
    <xdr:cxnSp macro="">
      <xdr:nvCxnSpPr>
        <xdr:cNvPr id="69" name="Connecteur droit avec flèche 68"/>
        <xdr:cNvCxnSpPr/>
      </xdr:nvCxnSpPr>
      <xdr:spPr>
        <a:xfrm>
          <a:off x="12849225" y="3143250"/>
          <a:ext cx="0" cy="295275"/>
        </a:xfrm>
        <a:prstGeom prst="straightConnector1">
          <a:avLst/>
        </a:prstGeom>
        <a:ln w="38100">
          <a:solidFill>
            <a:schemeClr val="accent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14287</xdr:colOff>
      <xdr:row>76</xdr:row>
      <xdr:rowOff>121444</xdr:rowOff>
    </xdr:from>
    <xdr:to>
      <xdr:col>7</xdr:col>
      <xdr:colOff>409576</xdr:colOff>
      <xdr:row>86</xdr:row>
      <xdr:rowOff>16444</xdr:rowOff>
    </xdr:to>
    <xdr:graphicFrame macro="">
      <xdr:nvGraphicFramePr>
        <xdr:cNvPr id="100" name="Graphique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435750</xdr:colOff>
      <xdr:row>0</xdr:row>
      <xdr:rowOff>119062</xdr:rowOff>
    </xdr:from>
    <xdr:to>
      <xdr:col>19</xdr:col>
      <xdr:colOff>123134</xdr:colOff>
      <xdr:row>53</xdr:row>
      <xdr:rowOff>80962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3750" y="119062"/>
          <a:ext cx="7307384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119063</xdr:colOff>
      <xdr:row>0</xdr:row>
      <xdr:rowOff>130969</xdr:rowOff>
    </xdr:from>
    <xdr:to>
      <xdr:col>9</xdr:col>
      <xdr:colOff>568447</xdr:colOff>
      <xdr:row>53</xdr:row>
      <xdr:rowOff>92869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3" y="130969"/>
          <a:ext cx="7307384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B2:AE167"/>
  <sheetViews>
    <sheetView showGridLines="0" tabSelected="1" zoomScale="70" zoomScaleNormal="70" workbookViewId="0"/>
  </sheetViews>
  <sheetFormatPr baseColWidth="10" defaultRowHeight="15" x14ac:dyDescent="0.25"/>
  <cols>
    <col min="1" max="1" width="8.5703125" customWidth="1"/>
    <col min="2" max="2" width="13.85546875" customWidth="1"/>
    <col min="8" max="8" width="12.42578125" customWidth="1"/>
    <col min="9" max="9" width="13.28515625" customWidth="1"/>
    <col min="11" max="21" width="13.7109375" customWidth="1"/>
    <col min="22" max="22" width="18.42578125" style="1" customWidth="1"/>
    <col min="23" max="23" width="27.28515625" style="1" customWidth="1"/>
    <col min="24" max="24" width="26.5703125" style="1" customWidth="1"/>
    <col min="25" max="29" width="18.42578125" style="1" customWidth="1"/>
    <col min="30" max="30" width="22.85546875" style="1" customWidth="1"/>
    <col min="31" max="31" width="18.42578125" style="1" customWidth="1"/>
  </cols>
  <sheetData>
    <row r="2" spans="8:21" x14ac:dyDescent="0.25">
      <c r="K2" s="78" t="s">
        <v>35</v>
      </c>
      <c r="L2" s="79"/>
      <c r="M2" s="80"/>
      <c r="N2" s="78" t="s">
        <v>42</v>
      </c>
      <c r="O2" s="79"/>
      <c r="P2" s="80"/>
      <c r="Q2" s="78" t="s">
        <v>30</v>
      </c>
      <c r="R2" s="79"/>
      <c r="S2" s="79"/>
      <c r="T2" s="79"/>
      <c r="U2" s="80"/>
    </row>
    <row r="3" spans="8:21" ht="17.25" customHeight="1" x14ac:dyDescent="0.25">
      <c r="H3" s="9"/>
      <c r="I3" s="73" t="s">
        <v>82</v>
      </c>
      <c r="J3" s="74"/>
      <c r="K3" s="7" t="s">
        <v>45</v>
      </c>
      <c r="L3" s="7" t="s">
        <v>31</v>
      </c>
      <c r="M3" s="7" t="s">
        <v>40</v>
      </c>
      <c r="N3" s="20" t="s">
        <v>38</v>
      </c>
      <c r="O3" s="20" t="s">
        <v>36</v>
      </c>
      <c r="P3" s="20" t="s">
        <v>37</v>
      </c>
      <c r="Q3" s="20" t="s">
        <v>38</v>
      </c>
      <c r="R3" s="20" t="s">
        <v>36</v>
      </c>
      <c r="S3" s="7" t="s">
        <v>37</v>
      </c>
      <c r="T3" s="7" t="s">
        <v>43</v>
      </c>
      <c r="U3" s="7" t="s">
        <v>44</v>
      </c>
    </row>
    <row r="4" spans="8:21" x14ac:dyDescent="0.25">
      <c r="H4" s="9"/>
      <c r="I4" s="73"/>
      <c r="J4" s="74"/>
      <c r="K4" s="2" t="s">
        <v>46</v>
      </c>
      <c r="L4" s="2" t="s">
        <v>7</v>
      </c>
      <c r="M4" s="2" t="s">
        <v>41</v>
      </c>
      <c r="N4" s="2" t="s">
        <v>0</v>
      </c>
      <c r="O4" s="2" t="s">
        <v>1</v>
      </c>
      <c r="P4" s="2" t="s">
        <v>2</v>
      </c>
      <c r="Q4" s="2" t="s">
        <v>3</v>
      </c>
      <c r="R4" s="2" t="s">
        <v>4</v>
      </c>
      <c r="S4" s="2" t="s">
        <v>5</v>
      </c>
      <c r="T4" s="2" t="s">
        <v>39</v>
      </c>
      <c r="U4" s="2" t="s">
        <v>6</v>
      </c>
    </row>
    <row r="5" spans="8:21" ht="15" customHeight="1" x14ac:dyDescent="0.25">
      <c r="I5" s="73"/>
      <c r="J5" s="74"/>
      <c r="K5" s="3" t="s">
        <v>9</v>
      </c>
      <c r="L5" s="3" t="s">
        <v>11</v>
      </c>
      <c r="M5" s="7" t="s">
        <v>29</v>
      </c>
      <c r="N5" s="3" t="s">
        <v>9</v>
      </c>
      <c r="O5" s="3" t="s">
        <v>9</v>
      </c>
      <c r="P5" s="3" t="s">
        <v>9</v>
      </c>
      <c r="Q5" s="3" t="s">
        <v>10</v>
      </c>
      <c r="R5" s="3" t="s">
        <v>10</v>
      </c>
      <c r="S5" s="3" t="s">
        <v>10</v>
      </c>
      <c r="T5" s="3" t="s">
        <v>10</v>
      </c>
      <c r="U5" s="3" t="s">
        <v>10</v>
      </c>
    </row>
    <row r="6" spans="8:21" x14ac:dyDescent="0.25">
      <c r="I6" s="73"/>
      <c r="J6" s="74"/>
      <c r="K6" s="40">
        <v>5.0000000000000001E-3</v>
      </c>
      <c r="L6" s="41">
        <v>14</v>
      </c>
      <c r="M6" s="42">
        <v>0.08</v>
      </c>
      <c r="N6" s="42">
        <v>0.01</v>
      </c>
      <c r="O6" s="42">
        <v>0.02</v>
      </c>
      <c r="P6" s="42">
        <v>0.01</v>
      </c>
      <c r="Q6" s="43">
        <f>0.000002</f>
        <v>1.9999999999999999E-6</v>
      </c>
      <c r="R6" s="43">
        <f>0.00000375</f>
        <v>3.7500000000000001E-6</v>
      </c>
      <c r="S6" s="43">
        <v>1.2500000000000001E-6</v>
      </c>
      <c r="T6" s="43">
        <f>0.000018</f>
        <v>1.8E-5</v>
      </c>
      <c r="U6" s="43">
        <f>0.000008</f>
        <v>7.9999999999999996E-6</v>
      </c>
    </row>
    <row r="7" spans="8:21" x14ac:dyDescent="0.25">
      <c r="I7" s="65"/>
      <c r="J7" s="65"/>
      <c r="K7" s="1"/>
      <c r="L7" s="1"/>
      <c r="M7" s="1"/>
      <c r="N7" s="1"/>
      <c r="O7" s="1"/>
      <c r="P7" s="1"/>
      <c r="Q7" s="1"/>
      <c r="R7" s="1"/>
      <c r="S7" s="1"/>
      <c r="T7" s="1"/>
    </row>
    <row r="8" spans="8:21" x14ac:dyDescent="0.25">
      <c r="J8" s="1"/>
      <c r="K8" s="1"/>
      <c r="L8" s="1"/>
      <c r="M8" s="1"/>
      <c r="N8" s="1"/>
      <c r="O8" s="1"/>
      <c r="P8" s="1"/>
      <c r="Q8" s="1"/>
      <c r="R8" s="1"/>
      <c r="S8" s="1"/>
    </row>
    <row r="9" spans="8:21" ht="15" customHeight="1" x14ac:dyDescent="0.25">
      <c r="J9" s="1"/>
      <c r="K9" s="1"/>
      <c r="L9" s="1"/>
      <c r="M9" s="1"/>
      <c r="N9" s="1"/>
      <c r="O9" s="22"/>
      <c r="P9" s="22"/>
      <c r="Q9" s="22"/>
      <c r="R9" s="83" t="s">
        <v>76</v>
      </c>
      <c r="S9" s="83" t="s">
        <v>96</v>
      </c>
      <c r="T9" s="83" t="s">
        <v>92</v>
      </c>
      <c r="U9" s="83" t="s">
        <v>93</v>
      </c>
    </row>
    <row r="10" spans="8:21" x14ac:dyDescent="0.25">
      <c r="J10" s="1"/>
      <c r="K10" s="6" t="s">
        <v>33</v>
      </c>
      <c r="L10" s="6" t="s">
        <v>32</v>
      </c>
      <c r="M10" s="6" t="s">
        <v>48</v>
      </c>
      <c r="N10" s="6" t="s">
        <v>47</v>
      </c>
      <c r="O10" s="22"/>
      <c r="P10" s="22"/>
      <c r="Q10" s="22"/>
      <c r="R10" s="84"/>
      <c r="S10" s="84"/>
      <c r="T10" s="84"/>
      <c r="U10" s="84"/>
    </row>
    <row r="11" spans="8:21" ht="15" customHeight="1" x14ac:dyDescent="0.25">
      <c r="J11" s="1"/>
      <c r="K11" s="2" t="s">
        <v>12</v>
      </c>
      <c r="L11" s="2" t="s">
        <v>14</v>
      </c>
      <c r="M11" s="2" t="s">
        <v>49</v>
      </c>
      <c r="N11" s="2" t="s">
        <v>8</v>
      </c>
      <c r="O11" s="22"/>
      <c r="P11" s="22"/>
      <c r="R11" s="2" t="s">
        <v>71</v>
      </c>
      <c r="S11" s="2" t="s">
        <v>91</v>
      </c>
      <c r="T11" s="2" t="s">
        <v>94</v>
      </c>
      <c r="U11" s="2" t="s">
        <v>95</v>
      </c>
    </row>
    <row r="12" spans="8:21" ht="15" customHeight="1" x14ac:dyDescent="0.25">
      <c r="J12" s="1"/>
      <c r="K12" s="3" t="s">
        <v>13</v>
      </c>
      <c r="L12" s="3" t="s">
        <v>15</v>
      </c>
      <c r="M12" s="7" t="s">
        <v>16</v>
      </c>
      <c r="N12" s="3" t="s">
        <v>9</v>
      </c>
      <c r="O12" s="22"/>
      <c r="P12" s="39"/>
      <c r="R12" s="52" t="s">
        <v>10</v>
      </c>
      <c r="S12" s="5" t="s">
        <v>15</v>
      </c>
      <c r="T12" s="5" t="s">
        <v>16</v>
      </c>
      <c r="U12" s="5" t="s">
        <v>78</v>
      </c>
    </row>
    <row r="13" spans="8:21" ht="15" customHeight="1" x14ac:dyDescent="0.25">
      <c r="J13" s="1"/>
      <c r="K13" s="25">
        <f>2*PI()*f</f>
        <v>87.964594300514207</v>
      </c>
      <c r="L13" s="25">
        <f>R_1/R_2</f>
        <v>0.5</v>
      </c>
      <c r="M13" s="25">
        <f>1/f</f>
        <v>7.1428571428571425E-2</v>
      </c>
      <c r="N13" s="26">
        <f>C_/2</f>
        <v>2.5000000000000001E-3</v>
      </c>
      <c r="O13" s="21"/>
      <c r="P13" s="39"/>
      <c r="R13" s="53">
        <f>(J_1+Jv+Jg)/K^2+J_2+J_3</f>
        <v>1.1700000000000001E-4</v>
      </c>
      <c r="S13" s="3">
        <f>-Cg/(J_1+Jg+Jv+J_2*K^2)</f>
        <v>-286.82505399568038</v>
      </c>
      <c r="T13" s="3">
        <f>ASIN((-Pente*R_3)/A/ω^2)/ω</f>
        <v>1.691833661466916E-3</v>
      </c>
      <c r="U13" s="3">
        <f>A*ω*COS(ω*t_tan)/R_3</f>
        <v>21.748069629571908</v>
      </c>
    </row>
    <row r="14" spans="8:21" ht="15" customHeight="1" x14ac:dyDescent="0.25">
      <c r="J14" s="1"/>
      <c r="K14" s="23"/>
      <c r="L14" s="16"/>
      <c r="M14" s="23"/>
      <c r="N14" s="24"/>
      <c r="O14" s="77" t="s">
        <v>97</v>
      </c>
      <c r="P14" s="77"/>
      <c r="Q14" s="77"/>
    </row>
    <row r="15" spans="8:21" ht="15" customHeight="1" x14ac:dyDescent="0.25">
      <c r="J15" s="1"/>
      <c r="K15" s="23"/>
      <c r="L15" s="75" t="s">
        <v>83</v>
      </c>
      <c r="M15" s="75"/>
      <c r="N15" s="75"/>
      <c r="O15" s="77"/>
      <c r="P15" s="77"/>
      <c r="Q15" s="77"/>
    </row>
    <row r="16" spans="8:21" ht="15" customHeight="1" x14ac:dyDescent="0.25">
      <c r="J16" s="1"/>
      <c r="K16" s="17"/>
      <c r="L16" s="75"/>
      <c r="M16" s="75"/>
      <c r="N16" s="75"/>
      <c r="O16" s="77"/>
      <c r="P16" s="77"/>
      <c r="Q16" s="77"/>
    </row>
    <row r="17" spans="9:31" ht="15" customHeight="1" x14ac:dyDescent="0.25">
      <c r="I17" s="1"/>
      <c r="J17" s="1"/>
      <c r="K17" s="18"/>
      <c r="L17" s="75"/>
      <c r="M17" s="75"/>
      <c r="N17" s="75"/>
      <c r="O17" s="22"/>
      <c r="P17" s="22"/>
      <c r="V17"/>
      <c r="W17"/>
      <c r="X17"/>
      <c r="Y17"/>
      <c r="Z17"/>
      <c r="AA17"/>
      <c r="AB17"/>
      <c r="AC17"/>
      <c r="AD17"/>
      <c r="AE17"/>
    </row>
    <row r="18" spans="9:31" x14ac:dyDescent="0.25">
      <c r="I18" s="1"/>
      <c r="J18" s="1"/>
      <c r="K18" s="1"/>
      <c r="L18" s="76"/>
      <c r="M18" s="76"/>
      <c r="N18" s="76"/>
      <c r="O18" s="22"/>
      <c r="P18" s="22"/>
      <c r="Q18" s="22"/>
      <c r="V18"/>
      <c r="W18"/>
      <c r="X18"/>
      <c r="Y18"/>
      <c r="Z18"/>
      <c r="AA18"/>
      <c r="AB18"/>
      <c r="AC18"/>
      <c r="AD18"/>
      <c r="AE18"/>
    </row>
    <row r="19" spans="9:31" ht="15" customHeight="1" x14ac:dyDescent="0.25">
      <c r="I19" s="1"/>
      <c r="J19" s="1"/>
      <c r="K19" s="81" t="s">
        <v>24</v>
      </c>
      <c r="L19" s="78" t="s">
        <v>35</v>
      </c>
      <c r="M19" s="79"/>
      <c r="N19" s="80"/>
      <c r="O19" s="78" t="s">
        <v>28</v>
      </c>
      <c r="P19" s="79"/>
      <c r="Q19" s="80"/>
      <c r="R19" s="85" t="s">
        <v>85</v>
      </c>
      <c r="S19" s="86"/>
      <c r="T19" s="85" t="s">
        <v>88</v>
      </c>
      <c r="U19" s="86" t="s">
        <v>84</v>
      </c>
      <c r="V19"/>
      <c r="W19"/>
      <c r="X19"/>
      <c r="Y19"/>
      <c r="Z19"/>
      <c r="AA19"/>
      <c r="AB19"/>
      <c r="AC19"/>
      <c r="AD19"/>
      <c r="AE19"/>
    </row>
    <row r="20" spans="9:31" ht="17.25" x14ac:dyDescent="0.25">
      <c r="I20" s="1"/>
      <c r="J20" s="1"/>
      <c r="K20" s="82"/>
      <c r="L20" s="7" t="s">
        <v>26</v>
      </c>
      <c r="M20" s="7" t="s">
        <v>25</v>
      </c>
      <c r="N20" s="7" t="s">
        <v>27</v>
      </c>
      <c r="O20" s="20" t="s">
        <v>37</v>
      </c>
      <c r="P20" s="89" t="s">
        <v>36</v>
      </c>
      <c r="Q20" s="90"/>
      <c r="R20" s="69" t="s">
        <v>86</v>
      </c>
      <c r="S20" s="69" t="s">
        <v>87</v>
      </c>
      <c r="T20" s="69" t="s">
        <v>89</v>
      </c>
      <c r="U20" s="69" t="s">
        <v>90</v>
      </c>
      <c r="V20"/>
      <c r="W20"/>
      <c r="X20"/>
      <c r="Y20"/>
      <c r="Z20"/>
      <c r="AA20"/>
      <c r="AB20"/>
      <c r="AC20"/>
      <c r="AD20"/>
      <c r="AE20"/>
    </row>
    <row r="21" spans="9:31" x14ac:dyDescent="0.25">
      <c r="I21" s="1"/>
      <c r="J21" s="1"/>
      <c r="K21" s="5" t="s">
        <v>17</v>
      </c>
      <c r="L21" s="5" t="s">
        <v>19</v>
      </c>
      <c r="M21" s="5" t="s">
        <v>20</v>
      </c>
      <c r="N21" s="5" t="s">
        <v>21</v>
      </c>
      <c r="O21" s="5" t="s">
        <v>55</v>
      </c>
      <c r="P21" s="5" t="s">
        <v>67</v>
      </c>
      <c r="Q21" s="5" t="s">
        <v>18</v>
      </c>
      <c r="R21" s="5" t="s">
        <v>77</v>
      </c>
      <c r="S21" s="67" t="s">
        <v>72</v>
      </c>
      <c r="T21" s="68" t="s">
        <v>74</v>
      </c>
      <c r="U21" s="68" t="s">
        <v>81</v>
      </c>
      <c r="V21"/>
      <c r="W21"/>
      <c r="X21"/>
      <c r="Y21"/>
      <c r="Z21"/>
      <c r="AA21"/>
      <c r="AB21"/>
      <c r="AC21"/>
      <c r="AD21"/>
      <c r="AE21"/>
    </row>
    <row r="22" spans="9:31" x14ac:dyDescent="0.25">
      <c r="I22" s="16"/>
      <c r="J22" s="8"/>
      <c r="K22" s="3" t="s">
        <v>16</v>
      </c>
      <c r="L22" s="3" t="s">
        <v>9</v>
      </c>
      <c r="M22" s="3" t="s">
        <v>22</v>
      </c>
      <c r="N22" s="3" t="s">
        <v>23</v>
      </c>
      <c r="O22" s="3" t="s">
        <v>13</v>
      </c>
      <c r="P22" s="3" t="s">
        <v>13</v>
      </c>
      <c r="Q22" s="3" t="s">
        <v>13</v>
      </c>
      <c r="R22" s="3" t="s">
        <v>78</v>
      </c>
      <c r="S22" s="56" t="s">
        <v>73</v>
      </c>
      <c r="T22" s="57" t="s">
        <v>75</v>
      </c>
      <c r="U22" s="57" t="s">
        <v>75</v>
      </c>
      <c r="V22"/>
      <c r="W22"/>
      <c r="X22"/>
      <c r="Y22"/>
      <c r="Z22"/>
      <c r="AA22"/>
      <c r="AB22"/>
      <c r="AC22"/>
      <c r="AD22"/>
      <c r="AE22"/>
    </row>
    <row r="23" spans="9:31" ht="15" customHeight="1" x14ac:dyDescent="0.25">
      <c r="I23" s="45"/>
      <c r="J23" s="46" t="s">
        <v>50</v>
      </c>
      <c r="K23" s="66">
        <v>0</v>
      </c>
      <c r="L23" s="14">
        <f t="shared" ref="L23:L149" si="0">A*SIN(ω*t)</f>
        <v>0</v>
      </c>
      <c r="M23" s="15">
        <f>A*ω*COS(ω*t)</f>
        <v>0.21991148575128552</v>
      </c>
      <c r="N23" s="15">
        <f>-A*ω^2*SIN(ω*t)</f>
        <v>0</v>
      </c>
      <c r="O23" s="15">
        <f t="shared" ref="O23:O149" si="1">V/R_3</f>
        <v>21.991148575128552</v>
      </c>
      <c r="P23" s="15">
        <f>IF(ω3_tan-Cg*MOD((t-t_tan),T_1)/(J_1+Jg+Jv+J_2*K^2)&lt;0,  0,  ω3_tan-Cg*MOD((t-t_tan),T_1)/(J_1+Jg+Jv+J_2*K^2))</f>
        <v>1.7458260540395543</v>
      </c>
      <c r="Q23" s="15">
        <f>IF(AND(AND(AND(t-MOD(t,T_1)&gt;0,t &gt;t-MOD(t,T_1)),  AND(t-MOD(t,T_1)&gt;0,t &lt;=t-MOD(t,T_1)+T_1)), ω2dec &gt;= ω3),  ω2dec,  ω3  )</f>
        <v>21.991148575128552</v>
      </c>
      <c r="R23" s="15">
        <f>IF(   AND(   MOD(t,T_1)&gt;=3*T_1/4,   MOD(t,T_1)&lt;=T_1 ),  ϒ/R_3, 0)</f>
        <v>0</v>
      </c>
      <c r="S23" s="58">
        <f t="shared" ref="S23:S54" si="2">IF(Accel2&lt;=0,0,Je*Accel2+Cg/K)</f>
        <v>0</v>
      </c>
      <c r="T23" s="55">
        <f t="shared" ref="T23:T54" si="3">C_2/R_3</f>
        <v>0</v>
      </c>
      <c r="U23" s="55">
        <f t="shared" ref="U23:U54" si="4">IF(Accel2&lt;=0,M*ϒ,M*ϒ+Fd)</f>
        <v>0</v>
      </c>
      <c r="V23"/>
      <c r="W23"/>
      <c r="X23"/>
      <c r="Y23"/>
      <c r="Z23"/>
      <c r="AA23"/>
      <c r="AB23"/>
      <c r="AC23"/>
      <c r="AD23"/>
      <c r="AE23"/>
    </row>
    <row r="24" spans="9:31" ht="15" customHeight="1" x14ac:dyDescent="0.25">
      <c r="I24" s="45"/>
      <c r="J24" s="46"/>
      <c r="K24" s="27">
        <f t="shared" ref="K24:K55" si="5">K23+T_1/40</f>
        <v>1.7857142857142857E-3</v>
      </c>
      <c r="L24" s="28">
        <f t="shared" si="0"/>
        <v>3.9108616260057717E-4</v>
      </c>
      <c r="M24" s="29">
        <f t="shared" ref="M24:M149" si="6">A*ω*COS(ω*t)</f>
        <v>0.2172040104394985</v>
      </c>
      <c r="N24" s="15">
        <f t="shared" ref="N24:N54" si="7">-A*ω^2*SIN(ω*t)</f>
        <v>-3.0261347179005194</v>
      </c>
      <c r="O24" s="29">
        <f t="shared" si="1"/>
        <v>21.720401043949849</v>
      </c>
      <c r="P24" s="15">
        <f t="shared" ref="P24:P54" si="8">IF(ω3_tan-Cg*MOD((t-t_tan),T_1)/(J_1+Jg+Jv+J_2*K^2)&lt;0,  0,  ω3_tan-Cg*MOD((t-t_tan),T_1)/(J_1+Jg+Jv+J_2*K^2))</f>
        <v>21.721142314453008</v>
      </c>
      <c r="Q24" s="15">
        <f>IF(AND(AND(AND(t-MOD(t,T_1)&gt;0,t &gt;t-MOD(t,T_1)),  AND(t-MOD(t,T_1)&gt;0,t &lt;=t-MOD(t,T_1)+T_1)), ω2dec &gt;= ω3),  ω2dec,  ω3  )</f>
        <v>21.720401043949849</v>
      </c>
      <c r="R24" s="15">
        <f>IF(   AND(   MOD(t,T_1)&gt;=3*T_1/4,   MOD(t,T_1)&lt;=T_1 ),  ϒ/R_3, 0)</f>
        <v>0</v>
      </c>
      <c r="S24" s="58">
        <f t="shared" si="2"/>
        <v>0</v>
      </c>
      <c r="T24" s="54">
        <f t="shared" si="3"/>
        <v>0</v>
      </c>
      <c r="U24" s="55">
        <f t="shared" si="4"/>
        <v>-0.24209077743204155</v>
      </c>
      <c r="V24"/>
      <c r="W24"/>
      <c r="X24"/>
      <c r="Y24"/>
      <c r="Z24"/>
      <c r="AA24"/>
      <c r="AB24"/>
      <c r="AC24"/>
      <c r="AD24"/>
      <c r="AE24"/>
    </row>
    <row r="25" spans="9:31" x14ac:dyDescent="0.25">
      <c r="I25" s="45"/>
      <c r="J25" s="46"/>
      <c r="K25" s="27">
        <f t="shared" si="5"/>
        <v>3.5714285714285713E-3</v>
      </c>
      <c r="L25" s="28">
        <f t="shared" si="0"/>
        <v>7.7254248593736855E-4</v>
      </c>
      <c r="M25" s="29">
        <f t="shared" si="6"/>
        <v>0.20914825153190891</v>
      </c>
      <c r="N25" s="15">
        <f t="shared" si="7"/>
        <v>-5.9777559558809976</v>
      </c>
      <c r="O25" s="29">
        <f t="shared" si="1"/>
        <v>20.91482515319089</v>
      </c>
      <c r="P25" s="15">
        <f t="shared" si="8"/>
        <v>21.20895471803215</v>
      </c>
      <c r="Q25" s="15">
        <f>IF(AND(AND(AND(t-MOD(t,T_1)&gt;0,t &gt;t-MOD(t,T_1)),  AND(t-MOD(t,T_1)&gt;0,t &lt;=t-MOD(t,T_1)+T_1)), ω2dec &gt;= ω3),  ω2dec,  ω3  )</f>
        <v>20.91482515319089</v>
      </c>
      <c r="R25" s="15">
        <f>IF(   AND(   MOD(t,T_1)&gt;=3*T_1/4,   MOD(t,T_1)&lt;=T_1 ),  ϒ/R_3, 0)</f>
        <v>0</v>
      </c>
      <c r="S25" s="58">
        <f t="shared" si="2"/>
        <v>0</v>
      </c>
      <c r="T25" s="54">
        <f t="shared" si="3"/>
        <v>0</v>
      </c>
      <c r="U25" s="55">
        <f t="shared" si="4"/>
        <v>-0.47822047647047983</v>
      </c>
      <c r="V25"/>
      <c r="W25"/>
      <c r="X25"/>
      <c r="Y25"/>
      <c r="Z25"/>
      <c r="AA25"/>
      <c r="AB25"/>
      <c r="AC25"/>
      <c r="AD25"/>
      <c r="AE25"/>
    </row>
    <row r="26" spans="9:31" x14ac:dyDescent="0.25">
      <c r="I26" s="45"/>
      <c r="J26" s="46"/>
      <c r="K26" s="27">
        <f t="shared" si="5"/>
        <v>5.3571428571428572E-3</v>
      </c>
      <c r="L26" s="28">
        <f t="shared" si="0"/>
        <v>1.1349762493488669E-3</v>
      </c>
      <c r="M26" s="29">
        <f t="shared" si="6"/>
        <v>0.19594256854835271</v>
      </c>
      <c r="N26" s="15">
        <f t="shared" si="7"/>
        <v>-8.7821850031930886</v>
      </c>
      <c r="O26" s="29">
        <f t="shared" si="1"/>
        <v>19.594256854835269</v>
      </c>
      <c r="P26" s="15">
        <f t="shared" si="8"/>
        <v>20.696767121611295</v>
      </c>
      <c r="Q26" s="15">
        <f>IF(AND(AND(AND(t-MOD(t,T_1)&gt;0,t &gt;t-MOD(t,T_1)),  AND(t-MOD(t,T_1)&gt;0,t &lt;=t-MOD(t,T_1)+T_1)), ω2dec &gt;= ω3),  ω2dec,  ω3  )</f>
        <v>19.594256854835269</v>
      </c>
      <c r="R26" s="15">
        <f>IF(   AND(   MOD(t,T_1)&gt;=3*T_1/4,   MOD(t,T_1)&lt;=T_1 ),  ϒ/R_3, 0)</f>
        <v>0</v>
      </c>
      <c r="S26" s="58">
        <f t="shared" si="2"/>
        <v>0</v>
      </c>
      <c r="T26" s="54">
        <f t="shared" si="3"/>
        <v>0</v>
      </c>
      <c r="U26" s="55">
        <f t="shared" si="4"/>
        <v>-0.70257480025544705</v>
      </c>
      <c r="V26"/>
      <c r="W26"/>
      <c r="X26"/>
      <c r="Y26"/>
      <c r="Z26"/>
      <c r="AA26"/>
      <c r="AB26"/>
      <c r="AC26"/>
      <c r="AD26"/>
      <c r="AE26"/>
    </row>
    <row r="27" spans="9:31" x14ac:dyDescent="0.25">
      <c r="I27" s="45"/>
      <c r="J27" s="46"/>
      <c r="K27" s="27">
        <f t="shared" si="5"/>
        <v>7.1428571428571426E-3</v>
      </c>
      <c r="L27" s="28">
        <f t="shared" si="0"/>
        <v>1.4694631307311829E-3</v>
      </c>
      <c r="M27" s="29">
        <f t="shared" si="6"/>
        <v>0.17791212923103411</v>
      </c>
      <c r="N27" s="15">
        <f t="shared" si="7"/>
        <v>-11.370367509325575</v>
      </c>
      <c r="O27" s="29">
        <f t="shared" si="1"/>
        <v>17.791212923103412</v>
      </c>
      <c r="P27" s="15">
        <f t="shared" si="8"/>
        <v>20.184579525190436</v>
      </c>
      <c r="Q27" s="15">
        <f>IF(AND(AND(AND(t-MOD(t,T_1)&gt;0,t &gt;t-MOD(t,T_1)),  AND(t-MOD(t,T_1)&gt;0,t &lt;=t-MOD(t,T_1)+T_1)), ω2dec &gt;= ω3),  ω2dec,  ω3  )</f>
        <v>17.791212923103412</v>
      </c>
      <c r="R27" s="15">
        <f>IF(   AND(   MOD(t,T_1)&gt;=3*T_1/4,   MOD(t,T_1)&lt;=T_1 ),  ϒ/R_3, 0)</f>
        <v>0</v>
      </c>
      <c r="S27" s="58">
        <f t="shared" si="2"/>
        <v>0</v>
      </c>
      <c r="T27" s="54">
        <f t="shared" si="3"/>
        <v>0</v>
      </c>
      <c r="U27" s="55">
        <f t="shared" si="4"/>
        <v>-0.90962940074604604</v>
      </c>
      <c r="V27"/>
      <c r="W27"/>
      <c r="X27"/>
      <c r="Y27"/>
      <c r="Z27"/>
      <c r="AA27"/>
      <c r="AB27"/>
      <c r="AC27"/>
      <c r="AD27"/>
      <c r="AE27"/>
    </row>
    <row r="28" spans="9:31" ht="15" customHeight="1" x14ac:dyDescent="0.25">
      <c r="I28" s="45"/>
      <c r="J28" s="46"/>
      <c r="K28" s="27">
        <f t="shared" si="5"/>
        <v>8.9285714285714281E-3</v>
      </c>
      <c r="L28" s="28">
        <f t="shared" si="0"/>
        <v>1.7677669529663686E-3</v>
      </c>
      <c r="M28" s="29">
        <f t="shared" si="6"/>
        <v>0.15550090283554283</v>
      </c>
      <c r="N28" s="15">
        <f t="shared" si="7"/>
        <v>-13.678573831292203</v>
      </c>
      <c r="O28" s="29">
        <f t="shared" si="1"/>
        <v>15.550090283554283</v>
      </c>
      <c r="P28" s="15">
        <f t="shared" si="8"/>
        <v>19.672391928769578</v>
      </c>
      <c r="Q28" s="15">
        <f>IF(AND(AND(AND(t-MOD(t,T_1)&gt;0,t &gt;t-MOD(t,T_1)),  AND(t-MOD(t,T_1)&gt;0,t &lt;=t-MOD(t,T_1)+T_1)), ω2dec &gt;= ω3),  ω2dec,  ω3  )</f>
        <v>15.550090283554283</v>
      </c>
      <c r="R28" s="15">
        <f>IF(   AND(   MOD(t,T_1)&gt;=3*T_1/4,   MOD(t,T_1)&lt;=T_1 ),  ϒ/R_3, 0)</f>
        <v>0</v>
      </c>
      <c r="S28" s="58">
        <f t="shared" si="2"/>
        <v>0</v>
      </c>
      <c r="T28" s="54">
        <f t="shared" si="3"/>
        <v>0</v>
      </c>
      <c r="U28" s="55">
        <f t="shared" si="4"/>
        <v>-1.0942859065033763</v>
      </c>
      <c r="V28"/>
      <c r="W28"/>
      <c r="X28"/>
      <c r="Y28"/>
      <c r="Z28"/>
      <c r="AA28"/>
      <c r="AB28"/>
      <c r="AC28"/>
      <c r="AD28"/>
      <c r="AE28"/>
    </row>
    <row r="29" spans="9:31" x14ac:dyDescent="0.25">
      <c r="I29" s="47"/>
      <c r="J29" s="46"/>
      <c r="K29" s="27">
        <f t="shared" si="5"/>
        <v>1.0714285714285714E-2</v>
      </c>
      <c r="L29" s="28">
        <f t="shared" si="0"/>
        <v>2.0225424859373685E-3</v>
      </c>
      <c r="M29" s="29">
        <f t="shared" si="6"/>
        <v>0.12926072813433198</v>
      </c>
      <c r="N29" s="15">
        <f t="shared" si="7"/>
        <v>-15.649968268948571</v>
      </c>
      <c r="O29" s="29">
        <f t="shared" si="1"/>
        <v>12.926072813433198</v>
      </c>
      <c r="P29" s="15">
        <f t="shared" si="8"/>
        <v>19.160204332348719</v>
      </c>
      <c r="Q29" s="15">
        <f>IF(AND(AND(AND(t-MOD(t,T_1)&gt;0,t &gt;t-MOD(t,T_1)),  AND(t-MOD(t,T_1)&gt;0,t &lt;=t-MOD(t,T_1)+T_1)), ω2dec &gt;= ω3),  ω2dec,  ω3  )</f>
        <v>12.926072813433198</v>
      </c>
      <c r="R29" s="15">
        <f>IF(   AND(   MOD(t,T_1)&gt;=3*T_1/4,   MOD(t,T_1)&lt;=T_1 ),  ϒ/R_3, 0)</f>
        <v>0</v>
      </c>
      <c r="S29" s="58">
        <f t="shared" si="2"/>
        <v>0</v>
      </c>
      <c r="T29" s="54">
        <f t="shared" si="3"/>
        <v>0</v>
      </c>
      <c r="U29" s="55">
        <f t="shared" si="4"/>
        <v>-1.2519974615158858</v>
      </c>
      <c r="V29"/>
      <c r="W29"/>
      <c r="X29"/>
      <c r="Y29"/>
      <c r="Z29"/>
      <c r="AA29"/>
      <c r="AB29"/>
      <c r="AC29"/>
      <c r="AD29"/>
      <c r="AE29"/>
    </row>
    <row r="30" spans="9:31" x14ac:dyDescent="0.25">
      <c r="I30" s="47"/>
      <c r="J30" s="46"/>
      <c r="K30" s="27">
        <f t="shared" si="5"/>
        <v>1.2500000000000001E-2</v>
      </c>
      <c r="L30" s="28">
        <f t="shared" si="0"/>
        <v>2.2275163104709195E-3</v>
      </c>
      <c r="M30" s="29">
        <f t="shared" si="6"/>
        <v>9.9837725314692344E-2</v>
      </c>
      <c r="N30" s="15">
        <f t="shared" si="7"/>
        <v>-17.236008548556541</v>
      </c>
      <c r="O30" s="29">
        <f t="shared" si="1"/>
        <v>9.9837725314692349</v>
      </c>
      <c r="P30" s="15">
        <f t="shared" si="8"/>
        <v>18.648016735927861</v>
      </c>
      <c r="Q30" s="15">
        <f>IF(AND(AND(AND(t-MOD(t,T_1)&gt;0,t &gt;t-MOD(t,T_1)),  AND(t-MOD(t,T_1)&gt;0,t &lt;=t-MOD(t,T_1)+T_1)), ω2dec &gt;= ω3),  ω2dec,  ω3  )</f>
        <v>9.9837725314692349</v>
      </c>
      <c r="R30" s="15">
        <f>IF(   AND(   MOD(t,T_1)&gt;=3*T_1/4,   MOD(t,T_1)&lt;=T_1 ),  ϒ/R_3, 0)</f>
        <v>0</v>
      </c>
      <c r="S30" s="58">
        <f t="shared" si="2"/>
        <v>0</v>
      </c>
      <c r="T30" s="54">
        <f t="shared" si="3"/>
        <v>0</v>
      </c>
      <c r="U30" s="55">
        <f t="shared" si="4"/>
        <v>-1.3788806838845233</v>
      </c>
      <c r="V30"/>
      <c r="W30"/>
      <c r="X30"/>
      <c r="Y30"/>
      <c r="Z30"/>
      <c r="AA30"/>
      <c r="AB30"/>
      <c r="AC30"/>
      <c r="AD30"/>
      <c r="AE30"/>
    </row>
    <row r="31" spans="9:31" x14ac:dyDescent="0.25">
      <c r="I31" s="47"/>
      <c r="J31" s="46"/>
      <c r="K31" s="27">
        <f t="shared" si="5"/>
        <v>1.4285714285714287E-2</v>
      </c>
      <c r="L31" s="28">
        <f t="shared" si="0"/>
        <v>2.3776412907378841E-3</v>
      </c>
      <c r="M31" s="29">
        <f t="shared" si="6"/>
        <v>6.7956386355391293E-2</v>
      </c>
      <c r="N31" s="15">
        <f t="shared" si="7"/>
        <v>-18.39764109466627</v>
      </c>
      <c r="O31" s="29">
        <f t="shared" si="1"/>
        <v>6.7956386355391292</v>
      </c>
      <c r="P31" s="15">
        <f t="shared" si="8"/>
        <v>18.135829139507003</v>
      </c>
      <c r="Q31" s="15">
        <f>IF(AND(AND(AND(t-MOD(t,T_1)&gt;0,t &gt;t-MOD(t,T_1)),  AND(t-MOD(t,T_1)&gt;0,t &lt;=t-MOD(t,T_1)+T_1)), ω2dec &gt;= ω3),  ω2dec,  ω3  )</f>
        <v>6.7956386355391292</v>
      </c>
      <c r="R31" s="15">
        <f>IF(   AND(   MOD(t,T_1)&gt;=3*T_1/4,   MOD(t,T_1)&lt;=T_1 ),  ϒ/R_3, 0)</f>
        <v>0</v>
      </c>
      <c r="S31" s="58">
        <f t="shared" si="2"/>
        <v>0</v>
      </c>
      <c r="T31" s="54">
        <f t="shared" si="3"/>
        <v>0</v>
      </c>
      <c r="U31" s="55">
        <f t="shared" si="4"/>
        <v>-1.4718112875733016</v>
      </c>
      <c r="V31"/>
      <c r="W31"/>
      <c r="X31"/>
      <c r="Y31"/>
      <c r="Z31"/>
      <c r="AA31"/>
      <c r="AB31"/>
      <c r="AC31"/>
      <c r="AD31"/>
      <c r="AE31"/>
    </row>
    <row r="32" spans="9:31" x14ac:dyDescent="0.25">
      <c r="I32" s="47"/>
      <c r="J32" s="46"/>
      <c r="K32" s="27">
        <f t="shared" si="5"/>
        <v>1.6071428571428573E-2</v>
      </c>
      <c r="L32" s="28">
        <f t="shared" si="0"/>
        <v>2.4692208514878445E-3</v>
      </c>
      <c r="M32" s="29">
        <f t="shared" si="6"/>
        <v>3.4401735629704666E-2</v>
      </c>
      <c r="N32" s="15">
        <f t="shared" si="7"/>
        <v>-19.106262658755139</v>
      </c>
      <c r="O32" s="29">
        <f t="shared" si="1"/>
        <v>3.4401735629704664</v>
      </c>
      <c r="P32" s="15">
        <f t="shared" si="8"/>
        <v>17.623641543086144</v>
      </c>
      <c r="Q32" s="15">
        <f>IF(AND(AND(AND(t-MOD(t,T_1)&gt;0,t &gt;t-MOD(t,T_1)),  AND(t-MOD(t,T_1)&gt;0,t &lt;=t-MOD(t,T_1)+T_1)), ω2dec &gt;= ω3),  ω2dec,  ω3  )</f>
        <v>3.4401735629704664</v>
      </c>
      <c r="R32" s="15">
        <f>IF(   AND(   MOD(t,T_1)&gt;=3*T_1/4,   MOD(t,T_1)&lt;=T_1 ),  ϒ/R_3, 0)</f>
        <v>0</v>
      </c>
      <c r="S32" s="58">
        <f t="shared" si="2"/>
        <v>0</v>
      </c>
      <c r="T32" s="54">
        <f t="shared" si="3"/>
        <v>0</v>
      </c>
      <c r="U32" s="55">
        <f t="shared" si="4"/>
        <v>-1.5285010127004111</v>
      </c>
      <c r="V32"/>
      <c r="W32"/>
      <c r="X32"/>
      <c r="Y32"/>
      <c r="Z32"/>
      <c r="AA32"/>
      <c r="AB32"/>
      <c r="AC32"/>
      <c r="AD32"/>
      <c r="AE32"/>
    </row>
    <row r="33" spans="9:31" x14ac:dyDescent="0.25">
      <c r="I33" s="47"/>
      <c r="J33" s="46" t="s">
        <v>51</v>
      </c>
      <c r="K33" s="27">
        <f t="shared" si="5"/>
        <v>1.785714285714286E-2</v>
      </c>
      <c r="L33" s="28">
        <f t="shared" si="0"/>
        <v>2.5000000000000001E-3</v>
      </c>
      <c r="M33" s="29">
        <f t="shared" si="6"/>
        <v>-3.535894812287852E-17</v>
      </c>
      <c r="N33" s="15">
        <f t="shared" si="7"/>
        <v>-19.344424626135144</v>
      </c>
      <c r="O33" s="29">
        <f t="shared" si="1"/>
        <v>-3.5358948122878519E-15</v>
      </c>
      <c r="P33" s="15">
        <f t="shared" si="8"/>
        <v>17.111453946665289</v>
      </c>
      <c r="Q33" s="15">
        <f>IF(AND(AND(AND(t-MOD(t,T_1)&gt;0,t &gt;t-MOD(t,T_1)),  AND(t-MOD(t,T_1)&gt;0,t &lt;=t-MOD(t,T_1)+T_1)), ω2dec &gt;= ω3),  ω2dec,  ω3  )</f>
        <v>-3.5358948122878519E-15</v>
      </c>
      <c r="R33" s="15">
        <f>IF(   AND(   MOD(t,T_1)&gt;=3*T_1/4,   MOD(t,T_1)&lt;=T_1 ),  ϒ/R_3, 0)</f>
        <v>0</v>
      </c>
      <c r="S33" s="70">
        <f t="shared" si="2"/>
        <v>0</v>
      </c>
      <c r="T33" s="71">
        <f t="shared" si="3"/>
        <v>0</v>
      </c>
      <c r="U33" s="72">
        <f t="shared" si="4"/>
        <v>-1.5475539700908116</v>
      </c>
      <c r="V33"/>
      <c r="W33"/>
      <c r="X33"/>
      <c r="Y33"/>
      <c r="Z33"/>
      <c r="AA33"/>
      <c r="AB33"/>
      <c r="AC33"/>
      <c r="AD33"/>
      <c r="AE33"/>
    </row>
    <row r="34" spans="9:31" x14ac:dyDescent="0.25">
      <c r="I34" s="47"/>
      <c r="J34" s="46"/>
      <c r="K34" s="27">
        <f t="shared" si="5"/>
        <v>1.9642857142857146E-2</v>
      </c>
      <c r="L34" s="28">
        <f t="shared" si="0"/>
        <v>2.469220851487844E-3</v>
      </c>
      <c r="M34" s="29">
        <f t="shared" si="6"/>
        <v>-3.4401735629704742E-2</v>
      </c>
      <c r="N34" s="15">
        <f t="shared" si="7"/>
        <v>-19.106262658755135</v>
      </c>
      <c r="O34" s="29">
        <f t="shared" si="1"/>
        <v>-3.4401735629704744</v>
      </c>
      <c r="P34" s="15">
        <f t="shared" si="8"/>
        <v>16.599266350244431</v>
      </c>
      <c r="Q34" s="15">
        <f>IF(AND(AND(AND(t-MOD(t,T_1)&gt;0,t &gt;t-MOD(t,T_1)),  AND(t-MOD(t,T_1)&gt;0,t &lt;=t-MOD(t,T_1)+T_1)), ω2dec &gt;= ω3),  ω2dec,  ω3  )</f>
        <v>-3.4401735629704744</v>
      </c>
      <c r="R34" s="15">
        <f>IF(   AND(   MOD(t,T_1)&gt;=3*T_1/4,   MOD(t,T_1)&lt;=T_1 ),  ϒ/R_3, 0)</f>
        <v>0</v>
      </c>
      <c r="S34" s="70">
        <f t="shared" si="2"/>
        <v>0</v>
      </c>
      <c r="T34" s="71">
        <f t="shared" si="3"/>
        <v>0</v>
      </c>
      <c r="U34" s="72">
        <f t="shared" si="4"/>
        <v>-1.5285010127004108</v>
      </c>
      <c r="V34"/>
      <c r="W34"/>
      <c r="X34"/>
      <c r="Y34"/>
      <c r="Z34"/>
      <c r="AA34"/>
      <c r="AB34"/>
      <c r="AC34"/>
      <c r="AD34"/>
      <c r="AE34"/>
    </row>
    <row r="35" spans="9:31" x14ac:dyDescent="0.25">
      <c r="I35" s="47"/>
      <c r="J35" s="46"/>
      <c r="K35" s="27">
        <f t="shared" si="5"/>
        <v>2.1428571428571432E-2</v>
      </c>
      <c r="L35" s="28">
        <f t="shared" si="0"/>
        <v>2.3776412907378841E-3</v>
      </c>
      <c r="M35" s="29">
        <f t="shared" si="6"/>
        <v>-6.7956386355391363E-2</v>
      </c>
      <c r="N35" s="15">
        <f t="shared" si="7"/>
        <v>-18.397641094666266</v>
      </c>
      <c r="O35" s="29">
        <f t="shared" si="1"/>
        <v>-6.7956386355391363</v>
      </c>
      <c r="P35" s="15">
        <f t="shared" si="8"/>
        <v>16.087078753823572</v>
      </c>
      <c r="Q35" s="15">
        <f>IF(AND(AND(AND(t-MOD(t,T_1)&gt;0,t &gt;t-MOD(t,T_1)),  AND(t-MOD(t,T_1)&gt;0,t &lt;=t-MOD(t,T_1)+T_1)), ω2dec &gt;= ω3),  ω2dec,  ω3  )</f>
        <v>-6.7956386355391363</v>
      </c>
      <c r="R35" s="15">
        <f>IF(   AND(   MOD(t,T_1)&gt;=3*T_1/4,   MOD(t,T_1)&lt;=T_1 ),  ϒ/R_3, 0)</f>
        <v>0</v>
      </c>
      <c r="S35" s="70">
        <f t="shared" si="2"/>
        <v>0</v>
      </c>
      <c r="T35" s="71">
        <f t="shared" si="3"/>
        <v>0</v>
      </c>
      <c r="U35" s="72">
        <f t="shared" si="4"/>
        <v>-1.4718112875733014</v>
      </c>
      <c r="V35"/>
      <c r="W35"/>
      <c r="X35"/>
      <c r="Y35"/>
      <c r="Z35"/>
      <c r="AA35"/>
      <c r="AB35"/>
      <c r="AC35"/>
      <c r="AD35"/>
      <c r="AE35"/>
    </row>
    <row r="36" spans="9:31" x14ac:dyDescent="0.25">
      <c r="I36" s="47"/>
      <c r="J36" s="46"/>
      <c r="K36" s="27">
        <f t="shared" si="5"/>
        <v>2.3214285714285719E-2</v>
      </c>
      <c r="L36" s="28">
        <f t="shared" si="0"/>
        <v>2.2275163104709191E-3</v>
      </c>
      <c r="M36" s="29">
        <f t="shared" si="6"/>
        <v>-9.9837725314692413E-2</v>
      </c>
      <c r="N36" s="15">
        <f t="shared" si="7"/>
        <v>-17.236008548556537</v>
      </c>
      <c r="O36" s="29">
        <f t="shared" si="1"/>
        <v>-9.9837725314692403</v>
      </c>
      <c r="P36" s="15">
        <f t="shared" si="8"/>
        <v>15.574891157402714</v>
      </c>
      <c r="Q36" s="15">
        <f>IF(AND(AND(AND(t-MOD(t,T_1)&gt;0,t &gt;t-MOD(t,T_1)),  AND(t-MOD(t,T_1)&gt;0,t &lt;=t-MOD(t,T_1)+T_1)), ω2dec &gt;= ω3),  ω2dec,  ω3  )</f>
        <v>-9.9837725314692403</v>
      </c>
      <c r="R36" s="15">
        <f>IF(   AND(   MOD(t,T_1)&gt;=3*T_1/4,   MOD(t,T_1)&lt;=T_1 ),  ϒ/R_3, 0)</f>
        <v>0</v>
      </c>
      <c r="S36" s="70">
        <f t="shared" si="2"/>
        <v>0</v>
      </c>
      <c r="T36" s="71">
        <f t="shared" si="3"/>
        <v>0</v>
      </c>
      <c r="U36" s="72">
        <f t="shared" si="4"/>
        <v>-1.3788806838845229</v>
      </c>
      <c r="V36"/>
      <c r="W36"/>
      <c r="X36"/>
      <c r="Y36"/>
      <c r="Z36"/>
      <c r="AA36"/>
      <c r="AB36"/>
      <c r="AC36"/>
      <c r="AD36"/>
      <c r="AE36"/>
    </row>
    <row r="37" spans="9:31" x14ac:dyDescent="0.25">
      <c r="I37" s="47"/>
      <c r="J37" s="46"/>
      <c r="K37" s="27">
        <f t="shared" si="5"/>
        <v>2.5000000000000005E-2</v>
      </c>
      <c r="L37" s="28">
        <f t="shared" si="0"/>
        <v>2.022542485937368E-3</v>
      </c>
      <c r="M37" s="29">
        <f t="shared" si="6"/>
        <v>-0.12926072813433204</v>
      </c>
      <c r="N37" s="15">
        <f t="shared" si="7"/>
        <v>-15.649968268948566</v>
      </c>
      <c r="O37" s="29">
        <f t="shared" si="1"/>
        <v>-12.926072813433203</v>
      </c>
      <c r="P37" s="15">
        <f t="shared" si="8"/>
        <v>15.062703560981856</v>
      </c>
      <c r="Q37" s="15">
        <f>IF(AND(AND(AND(t-MOD(t,T_1)&gt;0,t &gt;t-MOD(t,T_1)),  AND(t-MOD(t,T_1)&gt;0,t &lt;=t-MOD(t,T_1)+T_1)), ω2dec &gt;= ω3),  ω2dec,  ω3  )</f>
        <v>-12.926072813433203</v>
      </c>
      <c r="R37" s="15">
        <f>IF(   AND(   MOD(t,T_1)&gt;=3*T_1/4,   MOD(t,T_1)&lt;=T_1 ),  ϒ/R_3, 0)</f>
        <v>0</v>
      </c>
      <c r="S37" s="70">
        <f t="shared" si="2"/>
        <v>0</v>
      </c>
      <c r="T37" s="71">
        <f t="shared" si="3"/>
        <v>0</v>
      </c>
      <c r="U37" s="72">
        <f t="shared" si="4"/>
        <v>-1.2519974615158853</v>
      </c>
      <c r="V37"/>
      <c r="W37"/>
      <c r="X37"/>
      <c r="Y37"/>
      <c r="Z37"/>
      <c r="AA37"/>
      <c r="AB37"/>
      <c r="AC37"/>
      <c r="AD37"/>
      <c r="AE37"/>
    </row>
    <row r="38" spans="9:31" x14ac:dyDescent="0.25">
      <c r="I38" s="47"/>
      <c r="J38" s="46"/>
      <c r="K38" s="27">
        <f t="shared" si="5"/>
        <v>2.6785714285714291E-2</v>
      </c>
      <c r="L38" s="28">
        <f t="shared" si="0"/>
        <v>1.7677669529663682E-3</v>
      </c>
      <c r="M38" s="29">
        <f t="shared" si="6"/>
        <v>-0.15550090283554288</v>
      </c>
      <c r="N38" s="15">
        <f t="shared" si="7"/>
        <v>-13.6785738312922</v>
      </c>
      <c r="O38" s="29">
        <f t="shared" si="1"/>
        <v>-15.550090283554288</v>
      </c>
      <c r="P38" s="15">
        <f t="shared" si="8"/>
        <v>14.550515964560997</v>
      </c>
      <c r="Q38" s="15">
        <f>IF(AND(AND(AND(t-MOD(t,T_1)&gt;0,t &gt;t-MOD(t,T_1)),  AND(t-MOD(t,T_1)&gt;0,t &lt;=t-MOD(t,T_1)+T_1)), ω2dec &gt;= ω3),  ω2dec,  ω3  )</f>
        <v>-15.550090283554288</v>
      </c>
      <c r="R38" s="15">
        <f>IF(   AND(   MOD(t,T_1)&gt;=3*T_1/4,   MOD(t,T_1)&lt;=T_1 ),  ϒ/R_3, 0)</f>
        <v>0</v>
      </c>
      <c r="S38" s="70">
        <f t="shared" si="2"/>
        <v>0</v>
      </c>
      <c r="T38" s="71">
        <f t="shared" si="3"/>
        <v>0</v>
      </c>
      <c r="U38" s="72">
        <f t="shared" si="4"/>
        <v>-1.0942859065033761</v>
      </c>
      <c r="V38"/>
      <c r="W38"/>
      <c r="X38"/>
      <c r="Y38"/>
      <c r="Z38"/>
      <c r="AA38"/>
      <c r="AB38"/>
      <c r="AC38"/>
      <c r="AD38"/>
      <c r="AE38"/>
    </row>
    <row r="39" spans="9:31" x14ac:dyDescent="0.25">
      <c r="I39" s="48"/>
      <c r="J39" s="46"/>
      <c r="K39" s="27">
        <f t="shared" si="5"/>
        <v>2.8571428571428577E-2</v>
      </c>
      <c r="L39" s="28">
        <f t="shared" si="0"/>
        <v>1.469463130731182E-3</v>
      </c>
      <c r="M39" s="29">
        <f t="shared" si="6"/>
        <v>-0.17791212923103414</v>
      </c>
      <c r="N39" s="15">
        <f t="shared" si="7"/>
        <v>-11.37036750932557</v>
      </c>
      <c r="O39" s="29">
        <f t="shared" si="1"/>
        <v>-17.791212923103412</v>
      </c>
      <c r="P39" s="15">
        <f t="shared" si="8"/>
        <v>14.038328368140139</v>
      </c>
      <c r="Q39" s="15">
        <f>IF(AND(AND(AND(t-MOD(t,T_1)&gt;0,t &gt;t-MOD(t,T_1)),  AND(t-MOD(t,T_1)&gt;0,t &lt;=t-MOD(t,T_1)+T_1)), ω2dec &gt;= ω3),  ω2dec,  ω3  )</f>
        <v>-17.791212923103412</v>
      </c>
      <c r="R39" s="15">
        <f>IF(   AND(   MOD(t,T_1)&gt;=3*T_1/4,   MOD(t,T_1)&lt;=T_1 ),  ϒ/R_3, 0)</f>
        <v>0</v>
      </c>
      <c r="S39" s="70">
        <f t="shared" si="2"/>
        <v>0</v>
      </c>
      <c r="T39" s="71">
        <f t="shared" si="3"/>
        <v>0</v>
      </c>
      <c r="U39" s="72">
        <f t="shared" si="4"/>
        <v>-0.90962940074604559</v>
      </c>
      <c r="V39"/>
      <c r="W39"/>
      <c r="X39"/>
      <c r="Y39"/>
      <c r="Z39"/>
      <c r="AA39"/>
      <c r="AB39"/>
      <c r="AC39"/>
      <c r="AD39"/>
      <c r="AE39"/>
    </row>
    <row r="40" spans="9:31" ht="15" customHeight="1" x14ac:dyDescent="0.25">
      <c r="I40" s="48"/>
      <c r="J40" s="46"/>
      <c r="K40" s="27">
        <f t="shared" si="5"/>
        <v>3.0357142857142864E-2</v>
      </c>
      <c r="L40" s="28">
        <f t="shared" si="0"/>
        <v>1.1349762493488662E-3</v>
      </c>
      <c r="M40" s="29">
        <f t="shared" si="6"/>
        <v>-0.19594256854835274</v>
      </c>
      <c r="N40" s="15">
        <f t="shared" si="7"/>
        <v>-8.7821850031930833</v>
      </c>
      <c r="O40" s="29">
        <f t="shared" si="1"/>
        <v>-19.594256854835272</v>
      </c>
      <c r="P40" s="15">
        <f t="shared" si="8"/>
        <v>13.526140771719282</v>
      </c>
      <c r="Q40" s="15">
        <f>IF(AND(AND(AND(t-MOD(t,T_1)&gt;0,t &gt;t-MOD(t,T_1)),  AND(t-MOD(t,T_1)&gt;0,t &lt;=t-MOD(t,T_1)+T_1)), ω2dec &gt;= ω3),  ω2dec,  ω3  )</f>
        <v>-19.594256854835272</v>
      </c>
      <c r="R40" s="15">
        <f>IF(   AND(   MOD(t,T_1)&gt;=3*T_1/4,   MOD(t,T_1)&lt;=T_1 ),  ϒ/R_3, 0)</f>
        <v>0</v>
      </c>
      <c r="S40" s="70">
        <f t="shared" si="2"/>
        <v>0</v>
      </c>
      <c r="T40" s="71">
        <f t="shared" si="3"/>
        <v>0</v>
      </c>
      <c r="U40" s="72">
        <f t="shared" si="4"/>
        <v>-0.70257480025544672</v>
      </c>
      <c r="V40"/>
      <c r="W40"/>
      <c r="X40"/>
      <c r="Y40"/>
      <c r="Z40"/>
      <c r="AA40"/>
      <c r="AB40"/>
      <c r="AC40"/>
      <c r="AD40"/>
      <c r="AE40"/>
    </row>
    <row r="41" spans="9:31" ht="15" customHeight="1" x14ac:dyDescent="0.25">
      <c r="I41" s="48"/>
      <c r="J41" s="46"/>
      <c r="K41" s="27">
        <f t="shared" si="5"/>
        <v>3.2142857142857147E-2</v>
      </c>
      <c r="L41" s="28">
        <f t="shared" si="0"/>
        <v>7.725424859373678E-4</v>
      </c>
      <c r="M41" s="29">
        <f t="shared" si="6"/>
        <v>-0.20914825153190894</v>
      </c>
      <c r="N41" s="15">
        <f t="shared" si="7"/>
        <v>-5.9777559558809923</v>
      </c>
      <c r="O41" s="29">
        <f t="shared" si="1"/>
        <v>-20.914825153190893</v>
      </c>
      <c r="P41" s="15">
        <f t="shared" si="8"/>
        <v>13.013953175298425</v>
      </c>
      <c r="Q41" s="15">
        <f>IF(AND(AND(AND(t-MOD(t,T_1)&gt;0,t &gt;t-MOD(t,T_1)),  AND(t-MOD(t,T_1)&gt;0,t &lt;=t-MOD(t,T_1)+T_1)), ω2dec &gt;= ω3),  ω2dec,  ω3  )</f>
        <v>-20.914825153190893</v>
      </c>
      <c r="R41" s="15">
        <f>IF(   AND(   MOD(t,T_1)&gt;=3*T_1/4,   MOD(t,T_1)&lt;=T_1 ),  ϒ/R_3, 0)</f>
        <v>0</v>
      </c>
      <c r="S41" s="70">
        <f t="shared" si="2"/>
        <v>0</v>
      </c>
      <c r="T41" s="71">
        <f t="shared" si="3"/>
        <v>0</v>
      </c>
      <c r="U41" s="72">
        <f t="shared" si="4"/>
        <v>-0.47822047647047938</v>
      </c>
      <c r="V41"/>
      <c r="W41"/>
      <c r="X41"/>
      <c r="Y41"/>
      <c r="Z41"/>
      <c r="AA41"/>
      <c r="AB41"/>
      <c r="AC41"/>
      <c r="AD41"/>
      <c r="AE41"/>
    </row>
    <row r="42" spans="9:31" x14ac:dyDescent="0.25">
      <c r="I42" s="48"/>
      <c r="J42" s="46"/>
      <c r="K42" s="27">
        <f t="shared" si="5"/>
        <v>3.3928571428571433E-2</v>
      </c>
      <c r="L42" s="28">
        <f t="shared" si="0"/>
        <v>3.9108616260057636E-4</v>
      </c>
      <c r="M42" s="29">
        <f t="shared" si="6"/>
        <v>-0.2172040104394985</v>
      </c>
      <c r="N42" s="15">
        <f t="shared" si="7"/>
        <v>-3.0261347179005127</v>
      </c>
      <c r="O42" s="29">
        <f t="shared" si="1"/>
        <v>-21.720401043949849</v>
      </c>
      <c r="P42" s="15">
        <f t="shared" si="8"/>
        <v>12.501765578877565</v>
      </c>
      <c r="Q42" s="15">
        <f>IF(AND(AND(AND(t-MOD(t,T_1)&gt;0,t &gt;t-MOD(t,T_1)),  AND(t-MOD(t,T_1)&gt;0,t &lt;=t-MOD(t,T_1)+T_1)), ω2dec &gt;= ω3),  ω2dec,  ω3  )</f>
        <v>-21.720401043949849</v>
      </c>
      <c r="R42" s="15">
        <f>IF(   AND(   MOD(t,T_1)&gt;=3*T_1/4,   MOD(t,T_1)&lt;=T_1 ),  ϒ/R_3, 0)</f>
        <v>0</v>
      </c>
      <c r="S42" s="70">
        <f t="shared" si="2"/>
        <v>0</v>
      </c>
      <c r="T42" s="71">
        <f t="shared" si="3"/>
        <v>0</v>
      </c>
      <c r="U42" s="72">
        <f t="shared" si="4"/>
        <v>-0.24209077743204102</v>
      </c>
      <c r="V42"/>
      <c r="W42"/>
      <c r="X42"/>
      <c r="Y42"/>
      <c r="Z42"/>
      <c r="AA42"/>
      <c r="AB42"/>
      <c r="AC42"/>
      <c r="AD42"/>
      <c r="AE42"/>
    </row>
    <row r="43" spans="9:31" x14ac:dyDescent="0.25">
      <c r="I43" s="49" t="s">
        <v>34</v>
      </c>
      <c r="J43" s="46" t="s">
        <v>52</v>
      </c>
      <c r="K43" s="27">
        <f t="shared" si="5"/>
        <v>3.5714285714285719E-2</v>
      </c>
      <c r="L43" s="28">
        <f t="shared" si="0"/>
        <v>-8.0393591089800154E-19</v>
      </c>
      <c r="M43" s="29">
        <f t="shared" si="6"/>
        <v>-0.21991148575128552</v>
      </c>
      <c r="N43" s="15">
        <f t="shared" si="7"/>
        <v>6.2206710530438758E-15</v>
      </c>
      <c r="O43" s="29">
        <f t="shared" si="1"/>
        <v>-21.991148575128552</v>
      </c>
      <c r="P43" s="15">
        <f t="shared" si="8"/>
        <v>11.989577982456709</v>
      </c>
      <c r="Q43" s="15">
        <f>IF(AND(AND(AND(t-MOD(t,T_1)&gt;0,t &gt;t-MOD(t,T_1)),  AND(t-MOD(t,T_1)&gt;0,t &lt;=t-MOD(t,T_1)+T_1)), ω2dec &gt;= ω3),  ω2dec,  ω3  )</f>
        <v>-21.991148575128552</v>
      </c>
      <c r="R43" s="15">
        <f>IF(   AND(   MOD(t,T_1)&gt;=3*T_1/4,   MOD(t,T_1)&lt;=T_1 ),  ϒ/R_3, 0)</f>
        <v>0</v>
      </c>
      <c r="S43" s="70">
        <f t="shared" si="2"/>
        <v>0</v>
      </c>
      <c r="T43" s="71">
        <f t="shared" si="3"/>
        <v>0</v>
      </c>
      <c r="U43" s="72">
        <f t="shared" si="4"/>
        <v>4.9765368424351004E-16</v>
      </c>
      <c r="V43"/>
      <c r="W43"/>
      <c r="X43"/>
      <c r="Y43"/>
      <c r="Z43"/>
      <c r="AA43"/>
      <c r="AB43"/>
      <c r="AC43"/>
      <c r="AD43"/>
      <c r="AE43"/>
    </row>
    <row r="44" spans="9:31" x14ac:dyDescent="0.25">
      <c r="I44" s="47"/>
      <c r="J44" s="46"/>
      <c r="K44" s="27">
        <f t="shared" si="5"/>
        <v>3.7500000000000006E-2</v>
      </c>
      <c r="L44" s="28">
        <f t="shared" si="0"/>
        <v>-3.9108616260057793E-4</v>
      </c>
      <c r="M44" s="29">
        <f t="shared" si="6"/>
        <v>-0.21720401043949847</v>
      </c>
      <c r="N44" s="15">
        <f t="shared" si="7"/>
        <v>3.0261347179005251</v>
      </c>
      <c r="O44" s="29">
        <f t="shared" si="1"/>
        <v>-21.720401043949845</v>
      </c>
      <c r="P44" s="15">
        <f t="shared" si="8"/>
        <v>11.47739038603585</v>
      </c>
      <c r="Q44" s="15">
        <f>IF(AND(AND(AND(t-MOD(t,T_1)&gt;0,t &gt;t-MOD(t,T_1)),  AND(t-MOD(t,T_1)&gt;0,t &lt;=t-MOD(t,T_1)+T_1)), ω2dec &gt;= ω3),  ω2dec,  ω3  )</f>
        <v>-21.720401043949845</v>
      </c>
      <c r="R44" s="15">
        <f>IF(   AND(   MOD(t,T_1)&gt;=3*T_1/4,   MOD(t,T_1)&lt;=T_1 ),  ϒ/R_3, 0)</f>
        <v>0</v>
      </c>
      <c r="S44" s="70">
        <f t="shared" si="2"/>
        <v>0</v>
      </c>
      <c r="T44" s="71">
        <f t="shared" si="3"/>
        <v>0</v>
      </c>
      <c r="U44" s="72">
        <f t="shared" si="4"/>
        <v>0.24209077743204202</v>
      </c>
      <c r="V44"/>
      <c r="W44"/>
      <c r="X44"/>
      <c r="Y44"/>
      <c r="Z44"/>
      <c r="AA44"/>
      <c r="AB44"/>
      <c r="AC44"/>
      <c r="AD44"/>
      <c r="AE44"/>
    </row>
    <row r="45" spans="9:31" x14ac:dyDescent="0.25">
      <c r="I45" s="47"/>
      <c r="J45" s="46"/>
      <c r="K45" s="27">
        <f t="shared" si="5"/>
        <v>3.9285714285714292E-2</v>
      </c>
      <c r="L45" s="28">
        <f t="shared" si="0"/>
        <v>-7.7254248593736931E-4</v>
      </c>
      <c r="M45" s="29">
        <f t="shared" si="6"/>
        <v>-0.20914825153190891</v>
      </c>
      <c r="N45" s="15">
        <f t="shared" si="7"/>
        <v>5.9777559558810038</v>
      </c>
      <c r="O45" s="29">
        <f t="shared" si="1"/>
        <v>-20.91482515319089</v>
      </c>
      <c r="P45" s="15">
        <f t="shared" si="8"/>
        <v>10.965202789614994</v>
      </c>
      <c r="Q45" s="15">
        <f>IF(AND(AND(AND(t-MOD(t,T_1)&gt;0,t &gt;t-MOD(t,T_1)),  AND(t-MOD(t,T_1)&gt;0,t &lt;=t-MOD(t,T_1)+T_1)), ω2dec &gt;= ω3),  ω2dec,  ω3  )</f>
        <v>-20.91482515319089</v>
      </c>
      <c r="R45" s="15">
        <f>IF(   AND(   MOD(t,T_1)&gt;=3*T_1/4,   MOD(t,T_1)&lt;=T_1 ),  ϒ/R_3, 0)</f>
        <v>0</v>
      </c>
      <c r="S45" s="70">
        <f t="shared" si="2"/>
        <v>0</v>
      </c>
      <c r="T45" s="71">
        <f t="shared" si="3"/>
        <v>0</v>
      </c>
      <c r="U45" s="72">
        <f t="shared" si="4"/>
        <v>0.47822047647048033</v>
      </c>
      <c r="V45"/>
      <c r="W45"/>
      <c r="X45"/>
      <c r="Y45"/>
      <c r="Z45"/>
      <c r="AA45"/>
      <c r="AB45"/>
      <c r="AC45"/>
      <c r="AD45"/>
      <c r="AE45"/>
    </row>
    <row r="46" spans="9:31" x14ac:dyDescent="0.25">
      <c r="I46" s="47"/>
      <c r="J46" s="46"/>
      <c r="K46" s="27">
        <f t="shared" si="5"/>
        <v>4.1071428571428578E-2</v>
      </c>
      <c r="L46" s="28">
        <f t="shared" si="0"/>
        <v>-1.1349762493488677E-3</v>
      </c>
      <c r="M46" s="29">
        <f t="shared" si="6"/>
        <v>-0.19594256854835265</v>
      </c>
      <c r="N46" s="15">
        <f t="shared" si="7"/>
        <v>8.7821850031930957</v>
      </c>
      <c r="O46" s="29">
        <f t="shared" si="1"/>
        <v>-19.594256854835265</v>
      </c>
      <c r="P46" s="15">
        <f t="shared" si="8"/>
        <v>10.453015193194133</v>
      </c>
      <c r="Q46" s="15">
        <f>IF(AND(AND(AND(t-MOD(t,T_1)&gt;0,t &gt;t-MOD(t,T_1)),  AND(t-MOD(t,T_1)&gt;0,t &lt;=t-MOD(t,T_1)+T_1)), ω2dec &gt;= ω3),  ω2dec,  ω3  )</f>
        <v>-19.594256854835265</v>
      </c>
      <c r="R46" s="15">
        <f>IF(   AND(   MOD(t,T_1)&gt;=3*T_1/4,   MOD(t,T_1)&lt;=T_1 ),  ϒ/R_3, 0)</f>
        <v>0</v>
      </c>
      <c r="S46" s="70">
        <f t="shared" si="2"/>
        <v>0</v>
      </c>
      <c r="T46" s="71">
        <f t="shared" si="3"/>
        <v>0</v>
      </c>
      <c r="U46" s="72">
        <f t="shared" si="4"/>
        <v>0.70257480025544772</v>
      </c>
      <c r="V46"/>
      <c r="W46"/>
      <c r="X46"/>
      <c r="Y46"/>
      <c r="Z46"/>
      <c r="AA46"/>
      <c r="AB46"/>
      <c r="AC46"/>
      <c r="AD46"/>
      <c r="AE46"/>
    </row>
    <row r="47" spans="9:31" x14ac:dyDescent="0.25">
      <c r="I47" s="47"/>
      <c r="J47" s="46"/>
      <c r="K47" s="27">
        <f t="shared" si="5"/>
        <v>4.2857142857142864E-2</v>
      </c>
      <c r="L47" s="28">
        <f t="shared" si="0"/>
        <v>-1.4694631307311835E-3</v>
      </c>
      <c r="M47" s="29">
        <f t="shared" si="6"/>
        <v>-0.17791212923103406</v>
      </c>
      <c r="N47" s="15">
        <f t="shared" si="7"/>
        <v>11.370367509325581</v>
      </c>
      <c r="O47" s="29">
        <f t="shared" si="1"/>
        <v>-17.791212923103405</v>
      </c>
      <c r="P47" s="15">
        <f t="shared" si="8"/>
        <v>9.9408275967732767</v>
      </c>
      <c r="Q47" s="15">
        <f>IF(AND(AND(AND(t-MOD(t,T_1)&gt;0,t &gt;t-MOD(t,T_1)),  AND(t-MOD(t,T_1)&gt;0,t &lt;=t-MOD(t,T_1)+T_1)), ω2dec &gt;= ω3),  ω2dec,  ω3  )</f>
        <v>-17.791212923103405</v>
      </c>
      <c r="R47" s="15">
        <f>IF(   AND(   MOD(t,T_1)&gt;=3*T_1/4,   MOD(t,T_1)&lt;=T_1 ),  ϒ/R_3, 0)</f>
        <v>0</v>
      </c>
      <c r="S47" s="70">
        <f t="shared" si="2"/>
        <v>0</v>
      </c>
      <c r="T47" s="71">
        <f t="shared" si="3"/>
        <v>0</v>
      </c>
      <c r="U47" s="72">
        <f t="shared" si="4"/>
        <v>0.90962940074604648</v>
      </c>
      <c r="V47"/>
      <c r="W47"/>
      <c r="X47"/>
      <c r="Y47"/>
      <c r="Z47"/>
      <c r="AA47"/>
      <c r="AB47"/>
      <c r="AC47"/>
      <c r="AD47"/>
      <c r="AE47"/>
    </row>
    <row r="48" spans="9:31" x14ac:dyDescent="0.25">
      <c r="I48" s="47"/>
      <c r="J48" s="46"/>
      <c r="K48" s="27">
        <f t="shared" si="5"/>
        <v>4.4642857142857151E-2</v>
      </c>
      <c r="L48" s="28">
        <f t="shared" si="0"/>
        <v>-1.7677669529663701E-3</v>
      </c>
      <c r="M48" s="29">
        <f t="shared" si="6"/>
        <v>-0.15550090283554271</v>
      </c>
      <c r="N48" s="15">
        <f t="shared" si="7"/>
        <v>13.678573831292214</v>
      </c>
      <c r="O48" s="29">
        <f t="shared" si="1"/>
        <v>-15.550090283554271</v>
      </c>
      <c r="P48" s="15">
        <f t="shared" si="8"/>
        <v>9.4286400003524182</v>
      </c>
      <c r="Q48" s="15">
        <f>IF(AND(AND(AND(t-MOD(t,T_1)&gt;0,t &gt;t-MOD(t,T_1)),  AND(t-MOD(t,T_1)&gt;0,t &lt;=t-MOD(t,T_1)+T_1)), ω2dec &gt;= ω3),  ω2dec,  ω3  )</f>
        <v>-15.550090283554271</v>
      </c>
      <c r="R48" s="15">
        <f>IF(   AND(   MOD(t,T_1)&gt;=3*T_1/4,   MOD(t,T_1)&lt;=T_1 ),  ϒ/R_3, 0)</f>
        <v>0</v>
      </c>
      <c r="S48" s="70">
        <f t="shared" si="2"/>
        <v>0</v>
      </c>
      <c r="T48" s="71">
        <f t="shared" si="3"/>
        <v>0</v>
      </c>
      <c r="U48" s="72">
        <f t="shared" si="4"/>
        <v>1.0942859065033772</v>
      </c>
      <c r="V48"/>
      <c r="W48"/>
      <c r="X48"/>
      <c r="Y48"/>
      <c r="Z48"/>
      <c r="AA48"/>
      <c r="AB48"/>
      <c r="AC48"/>
      <c r="AD48"/>
      <c r="AE48"/>
    </row>
    <row r="49" spans="9:31" x14ac:dyDescent="0.25">
      <c r="I49" s="47"/>
      <c r="J49" s="46"/>
      <c r="K49" s="27">
        <f t="shared" si="5"/>
        <v>4.6428571428571437E-2</v>
      </c>
      <c r="L49" s="28">
        <f t="shared" si="0"/>
        <v>-2.0225424859373698E-3</v>
      </c>
      <c r="M49" s="29">
        <f t="shared" si="6"/>
        <v>-0.12926072813433184</v>
      </c>
      <c r="N49" s="15">
        <f t="shared" si="7"/>
        <v>15.649968268948578</v>
      </c>
      <c r="O49" s="29">
        <f t="shared" si="1"/>
        <v>-12.926072813433183</v>
      </c>
      <c r="P49" s="15">
        <f t="shared" si="8"/>
        <v>8.9164524039315616</v>
      </c>
      <c r="Q49" s="15">
        <f>IF(AND(AND(AND(t-MOD(t,T_1)&gt;0,t &gt;t-MOD(t,T_1)),  AND(t-MOD(t,T_1)&gt;0,t &lt;=t-MOD(t,T_1)+T_1)), ω2dec &gt;= ω3),  ω2dec,  ω3  )</f>
        <v>-12.926072813433183</v>
      </c>
      <c r="R49" s="15">
        <f>IF(   AND(   MOD(t,T_1)&gt;=3*T_1/4,   MOD(t,T_1)&lt;=T_1 ),  ϒ/R_3, 0)</f>
        <v>0</v>
      </c>
      <c r="S49" s="70">
        <f t="shared" si="2"/>
        <v>0</v>
      </c>
      <c r="T49" s="71">
        <f t="shared" si="3"/>
        <v>0</v>
      </c>
      <c r="U49" s="72">
        <f t="shared" si="4"/>
        <v>1.2519974615158862</v>
      </c>
      <c r="V49"/>
      <c r="W49"/>
      <c r="X49"/>
      <c r="Y49"/>
      <c r="Z49"/>
      <c r="AA49"/>
      <c r="AB49"/>
      <c r="AC49"/>
      <c r="AD49"/>
      <c r="AE49"/>
    </row>
    <row r="50" spans="9:31" x14ac:dyDescent="0.25">
      <c r="I50" s="47"/>
      <c r="J50" s="46"/>
      <c r="K50" s="27">
        <f t="shared" si="5"/>
        <v>4.8214285714285723E-2</v>
      </c>
      <c r="L50" s="28">
        <f t="shared" si="0"/>
        <v>-2.2275163104709208E-3</v>
      </c>
      <c r="M50" s="29">
        <f t="shared" si="6"/>
        <v>-9.9837725314692191E-2</v>
      </c>
      <c r="N50" s="15">
        <f t="shared" si="7"/>
        <v>17.236008548556548</v>
      </c>
      <c r="O50" s="29">
        <f t="shared" si="1"/>
        <v>-9.9837725314692189</v>
      </c>
      <c r="P50" s="15">
        <f t="shared" si="8"/>
        <v>8.4042648075107032</v>
      </c>
      <c r="Q50" s="15">
        <f>IF(AND(AND(AND(t-MOD(t,T_1)&gt;0,t &gt;t-MOD(t,T_1)),  AND(t-MOD(t,T_1)&gt;0,t &lt;=t-MOD(t,T_1)+T_1)), ω2dec &gt;= ω3),  ω2dec,  ω3  )</f>
        <v>-9.9837725314692189</v>
      </c>
      <c r="R50" s="15">
        <f>IF(   AND(   MOD(t,T_1)&gt;=3*T_1/4,   MOD(t,T_1)&lt;=T_1 ),  ϒ/R_3, 0)</f>
        <v>0</v>
      </c>
      <c r="S50" s="70">
        <f t="shared" si="2"/>
        <v>0</v>
      </c>
      <c r="T50" s="71">
        <f t="shared" si="3"/>
        <v>0</v>
      </c>
      <c r="U50" s="72">
        <f t="shared" si="4"/>
        <v>1.3788806838845238</v>
      </c>
      <c r="V50"/>
      <c r="W50"/>
      <c r="X50"/>
      <c r="Y50"/>
      <c r="Z50"/>
      <c r="AA50"/>
      <c r="AB50"/>
      <c r="AC50"/>
      <c r="AD50"/>
      <c r="AE50"/>
    </row>
    <row r="51" spans="9:31" x14ac:dyDescent="0.25">
      <c r="I51" s="47"/>
      <c r="J51" s="46"/>
      <c r="K51" s="27">
        <f t="shared" si="5"/>
        <v>5.000000000000001E-2</v>
      </c>
      <c r="L51" s="28">
        <f t="shared" si="0"/>
        <v>-2.3776412907378845E-3</v>
      </c>
      <c r="M51" s="29">
        <f t="shared" si="6"/>
        <v>-6.7956386355391182E-2</v>
      </c>
      <c r="N51" s="15">
        <f t="shared" si="7"/>
        <v>18.397641094666273</v>
      </c>
      <c r="O51" s="29">
        <f t="shared" si="1"/>
        <v>-6.7956386355391185</v>
      </c>
      <c r="P51" s="15">
        <f t="shared" si="8"/>
        <v>7.8920772110898429</v>
      </c>
      <c r="Q51" s="15">
        <f>IF(AND(AND(AND(t-MOD(t,T_1)&gt;0,t &gt;t-MOD(t,T_1)),  AND(t-MOD(t,T_1)&gt;0,t &lt;=t-MOD(t,T_1)+T_1)), ω2dec &gt;= ω3),  ω2dec,  ω3  )</f>
        <v>-6.7956386355391185</v>
      </c>
      <c r="R51" s="15">
        <f>IF(   AND(   MOD(t,T_1)&gt;=3*T_1/4,   MOD(t,T_1)&lt;=T_1 ),  ϒ/R_3, 0)</f>
        <v>0</v>
      </c>
      <c r="S51" s="70">
        <f t="shared" si="2"/>
        <v>0</v>
      </c>
      <c r="T51" s="71">
        <f t="shared" si="3"/>
        <v>0</v>
      </c>
      <c r="U51" s="72">
        <f t="shared" si="4"/>
        <v>1.4718112875733018</v>
      </c>
      <c r="V51"/>
      <c r="W51"/>
      <c r="X51"/>
      <c r="Y51"/>
      <c r="Z51"/>
      <c r="AA51"/>
      <c r="AB51"/>
      <c r="AC51"/>
      <c r="AD51"/>
      <c r="AE51"/>
    </row>
    <row r="52" spans="9:31" x14ac:dyDescent="0.25">
      <c r="I52" s="47"/>
      <c r="J52" s="46"/>
      <c r="K52" s="27">
        <f t="shared" si="5"/>
        <v>5.1785714285714296E-2</v>
      </c>
      <c r="L52" s="28">
        <f t="shared" si="0"/>
        <v>-2.4692208514878449E-3</v>
      </c>
      <c r="M52" s="29">
        <f t="shared" si="6"/>
        <v>-3.4401735629704548E-2</v>
      </c>
      <c r="N52" s="15">
        <f t="shared" si="7"/>
        <v>19.106262658755142</v>
      </c>
      <c r="O52" s="29">
        <f t="shared" si="1"/>
        <v>-3.4401735629704548</v>
      </c>
      <c r="P52" s="15">
        <f t="shared" si="8"/>
        <v>7.3798896146689863</v>
      </c>
      <c r="Q52" s="15">
        <f>IF(AND(AND(AND(t-MOD(t,T_1)&gt;0,t &gt;t-MOD(t,T_1)),  AND(t-MOD(t,T_1)&gt;0,t &lt;=t-MOD(t,T_1)+T_1)), ω2dec &gt;= ω3),  ω2dec,  ω3  )</f>
        <v>-3.4401735629704548</v>
      </c>
      <c r="R52" s="15">
        <f>IF(   AND(   MOD(t,T_1)&gt;=3*T_1/4,   MOD(t,T_1)&lt;=T_1 ),  ϒ/R_3, 0)</f>
        <v>0</v>
      </c>
      <c r="S52" s="70">
        <f t="shared" si="2"/>
        <v>0</v>
      </c>
      <c r="T52" s="71">
        <f t="shared" si="3"/>
        <v>0</v>
      </c>
      <c r="U52" s="72">
        <f t="shared" si="4"/>
        <v>1.5285010127004115</v>
      </c>
      <c r="V52"/>
      <c r="W52"/>
      <c r="X52"/>
      <c r="Y52"/>
      <c r="Z52"/>
      <c r="AA52"/>
      <c r="AB52"/>
      <c r="AC52"/>
      <c r="AD52"/>
      <c r="AE52"/>
    </row>
    <row r="53" spans="9:31" x14ac:dyDescent="0.25">
      <c r="I53" s="47"/>
      <c r="J53" s="46" t="s">
        <v>53</v>
      </c>
      <c r="K53" s="30">
        <f t="shared" si="5"/>
        <v>5.3571428571428582E-2</v>
      </c>
      <c r="L53" s="31">
        <f t="shared" si="0"/>
        <v>-2.5000000000000001E-3</v>
      </c>
      <c r="M53" s="32">
        <f t="shared" si="6"/>
        <v>1.5490700334075642E-16</v>
      </c>
      <c r="N53" s="13">
        <f t="shared" si="7"/>
        <v>19.344424626135144</v>
      </c>
      <c r="O53" s="32">
        <f t="shared" si="1"/>
        <v>1.5490700334075641E-14</v>
      </c>
      <c r="P53" s="13">
        <f t="shared" si="8"/>
        <v>6.8677020182481279</v>
      </c>
      <c r="Q53" s="13">
        <f>IF(AND(AND(AND(t-MOD(t,T_1)&gt;0,t &gt;t-MOD(t,T_1)),  AND(t-MOD(t,T_1)&gt;0,t &lt;=t-MOD(t,T_1)+T_1)), ω2dec &gt;= ω3),  ω2dec,  ω3  )</f>
        <v>1.5490700334075641E-14</v>
      </c>
      <c r="R53" s="13">
        <f>IF(   AND(   MOD(t,T_1)&gt;=3*T_1/4,   MOD(t,T_1)&lt;=T_1 ),  ϒ/R_3, 0)</f>
        <v>1934.4424626135144</v>
      </c>
      <c r="S53" s="59">
        <f t="shared" si="2"/>
        <v>0.24292976812578121</v>
      </c>
      <c r="T53" s="60">
        <f t="shared" si="3"/>
        <v>24.292976812578122</v>
      </c>
      <c r="U53" s="64">
        <f t="shared" si="4"/>
        <v>25.840530782668932</v>
      </c>
      <c r="V53"/>
      <c r="W53"/>
      <c r="X53"/>
      <c r="Y53"/>
      <c r="Z53"/>
      <c r="AA53"/>
      <c r="AB53"/>
      <c r="AC53"/>
      <c r="AD53"/>
      <c r="AE53"/>
    </row>
    <row r="54" spans="9:31" x14ac:dyDescent="0.25">
      <c r="I54" s="47"/>
      <c r="J54" s="46"/>
      <c r="K54" s="30">
        <f t="shared" si="5"/>
        <v>5.5357142857142869E-2</v>
      </c>
      <c r="L54" s="31">
        <f t="shared" si="0"/>
        <v>-2.469220851487844E-3</v>
      </c>
      <c r="M54" s="32">
        <f t="shared" si="6"/>
        <v>3.4401735629704853E-2</v>
      </c>
      <c r="N54" s="13">
        <f t="shared" si="7"/>
        <v>19.106262658755135</v>
      </c>
      <c r="O54" s="32">
        <f t="shared" si="1"/>
        <v>3.4401735629704855</v>
      </c>
      <c r="P54" s="13">
        <f t="shared" si="8"/>
        <v>6.3555144218272712</v>
      </c>
      <c r="Q54" s="13">
        <f>IF(AND(AND(AND(t-MOD(t,T_1)&gt;0,t &gt;t-MOD(t,T_1)),  AND(t-MOD(t,T_1)&gt;0,t &lt;=t-MOD(t,T_1)+T_1)), ω2dec &gt;= ω3),  ω2dec,  ω3  )</f>
        <v>3.4401735629704855</v>
      </c>
      <c r="R54" s="13">
        <f>IF(   AND(   MOD(t,T_1)&gt;=3*T_1/4,   MOD(t,T_1)&lt;=T_1 ),  ϒ/R_3, 0)</f>
        <v>1910.6262658755134</v>
      </c>
      <c r="S54" s="59">
        <f t="shared" si="2"/>
        <v>0.24014327310743508</v>
      </c>
      <c r="T54" s="60">
        <f t="shared" si="3"/>
        <v>24.014327310743507</v>
      </c>
      <c r="U54" s="64">
        <f t="shared" si="4"/>
        <v>25.542828323443917</v>
      </c>
      <c r="V54"/>
      <c r="W54"/>
      <c r="X54"/>
      <c r="Y54"/>
      <c r="Z54"/>
      <c r="AA54"/>
      <c r="AB54"/>
      <c r="AC54"/>
      <c r="AD54"/>
      <c r="AE54"/>
    </row>
    <row r="55" spans="9:31" x14ac:dyDescent="0.25">
      <c r="I55" s="47"/>
      <c r="J55" s="46"/>
      <c r="K55" s="30">
        <f t="shared" si="5"/>
        <v>5.7142857142857155E-2</v>
      </c>
      <c r="L55" s="31">
        <f t="shared" si="0"/>
        <v>-2.3776412907378832E-3</v>
      </c>
      <c r="M55" s="32">
        <f t="shared" si="6"/>
        <v>6.7956386355391474E-2</v>
      </c>
      <c r="N55" s="13">
        <f t="shared" ref="N55:N86" si="9">-A*ω^2*SIN(ω*t)</f>
        <v>18.397641094666263</v>
      </c>
      <c r="O55" s="32">
        <f t="shared" si="1"/>
        <v>6.7956386355391469</v>
      </c>
      <c r="P55" s="13">
        <f t="shared" ref="P55:P86" si="10">IF(ω3_tan-Cg*MOD((t-t_tan),T_1)/(J_1+Jg+Jv+J_2*K^2)&lt;0,  0,  ω3_tan-Cg*MOD((t-t_tan),T_1)/(J_1+Jg+Jv+J_2*K^2))</f>
        <v>5.843326825406411</v>
      </c>
      <c r="Q55" s="13">
        <f>IF(AND(AND(AND(t-MOD(t,T_1)&gt;0,t &gt;t-MOD(t,T_1)),  AND(t-MOD(t,T_1)&gt;0,t &lt;=t-MOD(t,T_1)+T_1)), ω2dec &gt;= ω3),  ω2dec,  ω3  )</f>
        <v>6.7956386355391469</v>
      </c>
      <c r="R55" s="13">
        <f>IF(   AND(   MOD(t,T_1)&gt;=3*T_1/4,   MOD(t,T_1)&lt;=T_1 ),  ϒ/R_3, 0)</f>
        <v>1839.7641094666262</v>
      </c>
      <c r="S55" s="59">
        <f t="shared" ref="S55:S86" si="11">IF(Accel2&lt;=0,0,Je*Accel2+Cg/K)</f>
        <v>0.23185240080759528</v>
      </c>
      <c r="T55" s="60">
        <f t="shared" ref="T55:T86" si="12">C_2/R_3</f>
        <v>23.185240080759527</v>
      </c>
      <c r="U55" s="64">
        <f t="shared" ref="U55:U86" si="13">IF(Accel2&lt;=0,M*ϒ,M*ϒ+Fd)</f>
        <v>24.65705136833283</v>
      </c>
      <c r="V55"/>
      <c r="W55"/>
      <c r="X55"/>
      <c r="Y55"/>
      <c r="Z55"/>
      <c r="AA55"/>
      <c r="AB55"/>
      <c r="AC55"/>
      <c r="AD55"/>
      <c r="AE55"/>
    </row>
    <row r="56" spans="9:31" x14ac:dyDescent="0.25">
      <c r="I56" s="47"/>
      <c r="J56" s="46"/>
      <c r="K56" s="30">
        <f t="shared" ref="K56:K87" si="14">K55+T_1/40</f>
        <v>5.8928571428571441E-2</v>
      </c>
      <c r="L56" s="31">
        <f t="shared" si="0"/>
        <v>-2.2275163104709191E-3</v>
      </c>
      <c r="M56" s="32">
        <f t="shared" si="6"/>
        <v>9.9837725314692469E-2</v>
      </c>
      <c r="N56" s="13">
        <f t="shared" si="9"/>
        <v>17.236008548556537</v>
      </c>
      <c r="O56" s="32">
        <f t="shared" si="1"/>
        <v>9.9837725314692474</v>
      </c>
      <c r="P56" s="13">
        <f t="shared" si="10"/>
        <v>5.3311392289855561</v>
      </c>
      <c r="Q56" s="13">
        <f>IF(AND(AND(AND(t-MOD(t,T_1)&gt;0,t &gt;t-MOD(t,T_1)),  AND(t-MOD(t,T_1)&gt;0,t &lt;=t-MOD(t,T_1)+T_1)), ω2dec &gt;= ω3),  ω2dec,  ω3  )</f>
        <v>9.9837725314692474</v>
      </c>
      <c r="R56" s="13">
        <f>IF(   AND(   MOD(t,T_1)&gt;=3*T_1/4,   MOD(t,T_1)&lt;=T_1 ),  ϒ/R_3, 0)</f>
        <v>1723.6008548556538</v>
      </c>
      <c r="S56" s="59">
        <f t="shared" si="11"/>
        <v>0.2182613000181115</v>
      </c>
      <c r="T56" s="60">
        <f t="shared" si="12"/>
        <v>21.826130001811151</v>
      </c>
      <c r="U56" s="64">
        <f t="shared" si="13"/>
        <v>23.205010685695676</v>
      </c>
      <c r="V56"/>
      <c r="W56"/>
      <c r="X56"/>
      <c r="Y56"/>
      <c r="Z56"/>
      <c r="AA56"/>
      <c r="AB56"/>
      <c r="AC56"/>
      <c r="AD56"/>
      <c r="AE56"/>
    </row>
    <row r="57" spans="9:31" x14ac:dyDescent="0.25">
      <c r="I57" s="47"/>
      <c r="J57" s="46"/>
      <c r="K57" s="30">
        <f t="shared" si="14"/>
        <v>6.0714285714285728E-2</v>
      </c>
      <c r="L57" s="31">
        <f t="shared" si="0"/>
        <v>-2.0225424859373676E-3</v>
      </c>
      <c r="M57" s="32">
        <f t="shared" si="6"/>
        <v>0.12926072813433209</v>
      </c>
      <c r="N57" s="13">
        <f t="shared" si="9"/>
        <v>15.649968268948562</v>
      </c>
      <c r="O57" s="32">
        <f t="shared" si="1"/>
        <v>12.926072813433208</v>
      </c>
      <c r="P57" s="13">
        <f t="shared" si="10"/>
        <v>4.8189516325646977</v>
      </c>
      <c r="Q57" s="13">
        <f>IF(AND(AND(AND(t-MOD(t,T_1)&gt;0,t &gt;t-MOD(t,T_1)),  AND(t-MOD(t,T_1)&gt;0,t &lt;=t-MOD(t,T_1)+T_1)), ω2dec &gt;= ω3),  ω2dec,  ω3  )</f>
        <v>12.926072813433208</v>
      </c>
      <c r="R57" s="13">
        <f>IF(   AND(   MOD(t,T_1)&gt;=3*T_1/4,   MOD(t,T_1)&lt;=T_1 ),  ϒ/R_3, 0)</f>
        <v>1564.9968268948562</v>
      </c>
      <c r="S57" s="59">
        <f t="shared" si="11"/>
        <v>0.1997046287466982</v>
      </c>
      <c r="T57" s="60">
        <f t="shared" si="12"/>
        <v>19.970462874669821</v>
      </c>
      <c r="U57" s="64">
        <f t="shared" si="13"/>
        <v>21.222460336185705</v>
      </c>
      <c r="V57"/>
      <c r="W57"/>
      <c r="X57"/>
      <c r="Y57"/>
      <c r="Z57"/>
      <c r="AA57"/>
      <c r="AB57"/>
      <c r="AC57"/>
      <c r="AD57"/>
      <c r="AE57"/>
    </row>
    <row r="58" spans="9:31" x14ac:dyDescent="0.25">
      <c r="I58" s="47"/>
      <c r="J58" s="46"/>
      <c r="K58" s="30">
        <f t="shared" si="14"/>
        <v>6.2500000000000014E-2</v>
      </c>
      <c r="L58" s="31">
        <f t="shared" si="0"/>
        <v>-1.7677669529663675E-3</v>
      </c>
      <c r="M58" s="32">
        <f t="shared" si="6"/>
        <v>0.15550090283554294</v>
      </c>
      <c r="N58" s="13">
        <f t="shared" si="9"/>
        <v>13.678573831292194</v>
      </c>
      <c r="O58" s="32">
        <f t="shared" si="1"/>
        <v>15.550090283554294</v>
      </c>
      <c r="P58" s="13">
        <f t="shared" si="10"/>
        <v>4.3067640361438357</v>
      </c>
      <c r="Q58" s="13">
        <f>IF(AND(AND(AND(t-MOD(t,T_1)&gt;0,t &gt;t-MOD(t,T_1)),  AND(t-MOD(t,T_1)&gt;0,t &lt;=t-MOD(t,T_1)+T_1)), ω2dec &gt;= ω3),  ω2dec,  ω3  )</f>
        <v>15.550090283554294</v>
      </c>
      <c r="R58" s="13">
        <f>IF(   AND(   MOD(t,T_1)&gt;=3*T_1/4,   MOD(t,T_1)&lt;=T_1 ),  ϒ/R_3, 0)</f>
        <v>1367.8573831292194</v>
      </c>
      <c r="S58" s="59">
        <f t="shared" si="11"/>
        <v>0.17663931382611869</v>
      </c>
      <c r="T58" s="60">
        <f t="shared" si="12"/>
        <v>17.663931382611867</v>
      </c>
      <c r="U58" s="64">
        <f t="shared" si="13"/>
        <v>18.758217289115244</v>
      </c>
      <c r="V58"/>
      <c r="W58"/>
      <c r="X58"/>
      <c r="Y58"/>
      <c r="Z58"/>
      <c r="AA58"/>
      <c r="AB58"/>
      <c r="AC58"/>
      <c r="AD58"/>
      <c r="AE58"/>
    </row>
    <row r="59" spans="9:31" x14ac:dyDescent="0.25">
      <c r="I59" s="47"/>
      <c r="J59" s="46"/>
      <c r="K59" s="30">
        <f t="shared" si="14"/>
        <v>6.4285714285714293E-2</v>
      </c>
      <c r="L59" s="31">
        <f t="shared" si="0"/>
        <v>-1.4694631307311816E-3</v>
      </c>
      <c r="M59" s="32">
        <f t="shared" si="6"/>
        <v>0.17791212923103417</v>
      </c>
      <c r="N59" s="13">
        <f t="shared" si="9"/>
        <v>11.370367509325565</v>
      </c>
      <c r="O59" s="32">
        <f t="shared" si="1"/>
        <v>17.791212923103416</v>
      </c>
      <c r="P59" s="13">
        <f t="shared" si="10"/>
        <v>3.7945764397229809</v>
      </c>
      <c r="Q59" s="13">
        <f>IF(AND(AND(AND(t-MOD(t,T_1)&gt;0,t &gt;t-MOD(t,T_1)),  AND(t-MOD(t,T_1)&gt;0,t &lt;=t-MOD(t,T_1)+T_1)), ω2dec &gt;= ω3),  ω2dec,  ω3  )</f>
        <v>17.791212923103416</v>
      </c>
      <c r="R59" s="13">
        <f>IF(   AND(   MOD(t,T_1)&gt;=3*T_1/4,   MOD(t,T_1)&lt;=T_1 ),  ϒ/R_3, 0)</f>
        <v>1137.0367509325565</v>
      </c>
      <c r="S59" s="59">
        <f t="shared" si="11"/>
        <v>0.14963329985910914</v>
      </c>
      <c r="T59" s="60">
        <f t="shared" si="12"/>
        <v>14.963329985910914</v>
      </c>
      <c r="U59" s="64">
        <f t="shared" si="13"/>
        <v>15.872959386656959</v>
      </c>
      <c r="V59"/>
      <c r="W59"/>
      <c r="X59"/>
      <c r="Y59"/>
      <c r="Z59"/>
      <c r="AA59"/>
      <c r="AB59"/>
      <c r="AC59"/>
      <c r="AD59"/>
      <c r="AE59"/>
    </row>
    <row r="60" spans="9:31" x14ac:dyDescent="0.25">
      <c r="I60" s="47"/>
      <c r="J60" s="46"/>
      <c r="K60" s="30">
        <f t="shared" si="14"/>
        <v>6.6071428571428573E-2</v>
      </c>
      <c r="L60" s="31">
        <f t="shared" si="0"/>
        <v>-1.1349762493488675E-3</v>
      </c>
      <c r="M60" s="32">
        <f t="shared" si="6"/>
        <v>0.19594256854835268</v>
      </c>
      <c r="N60" s="13">
        <f t="shared" si="9"/>
        <v>8.7821850031930921</v>
      </c>
      <c r="O60" s="32">
        <f t="shared" si="1"/>
        <v>19.594256854835269</v>
      </c>
      <c r="P60" s="13">
        <f t="shared" si="10"/>
        <v>3.282388843302126</v>
      </c>
      <c r="Q60" s="13">
        <f>IF(AND(AND(AND(t-MOD(t,T_1)&gt;0,t &gt;t-MOD(t,T_1)),  AND(t-MOD(t,T_1)&gt;0,t &lt;=t-MOD(t,T_1)+T_1)), ω2dec &gt;= ω3),  ω2dec,  ω3  )</f>
        <v>19.594256854835269</v>
      </c>
      <c r="R60" s="13">
        <f>IF(   AND(   MOD(t,T_1)&gt;=3*T_1/4,   MOD(t,T_1)&lt;=T_1 ),  ϒ/R_3, 0)</f>
        <v>878.21850031930921</v>
      </c>
      <c r="S60" s="59">
        <f t="shared" si="11"/>
        <v>0.11935156453735919</v>
      </c>
      <c r="T60" s="60">
        <f t="shared" si="12"/>
        <v>11.935156453735919</v>
      </c>
      <c r="U60" s="64">
        <f t="shared" si="13"/>
        <v>12.637731253991367</v>
      </c>
      <c r="V60"/>
      <c r="W60"/>
      <c r="X60"/>
      <c r="Y60"/>
      <c r="Z60"/>
      <c r="AA60"/>
      <c r="AB60"/>
      <c r="AC60"/>
      <c r="AD60"/>
      <c r="AE60"/>
    </row>
    <row r="61" spans="9:31" ht="15" customHeight="1" x14ac:dyDescent="0.25">
      <c r="I61" s="47"/>
      <c r="J61" s="46"/>
      <c r="K61" s="30">
        <f t="shared" si="14"/>
        <v>6.7857142857142852E-2</v>
      </c>
      <c r="L61" s="31">
        <f t="shared" si="0"/>
        <v>-7.7254248593737126E-4</v>
      </c>
      <c r="M61" s="32">
        <f t="shared" si="6"/>
        <v>0.20914825153190883</v>
      </c>
      <c r="N61" s="13">
        <f t="shared" si="9"/>
        <v>5.9777559558810189</v>
      </c>
      <c r="O61" s="32">
        <f t="shared" si="1"/>
        <v>20.914825153190883</v>
      </c>
      <c r="P61" s="13">
        <f t="shared" si="10"/>
        <v>2.7702012468812711</v>
      </c>
      <c r="Q61" s="13">
        <f>IF(AND(AND(AND(t-MOD(t,T_1)&gt;0,t &gt;t-MOD(t,T_1)),  AND(t-MOD(t,T_1)&gt;0,t &lt;=t-MOD(t,T_1)+T_1)), ω2dec &gt;= ω3),  ω2dec,  ω3  )</f>
        <v>20.914825153190883</v>
      </c>
      <c r="R61" s="13">
        <f>IF(   AND(   MOD(t,T_1)&gt;=3*T_1/4,   MOD(t,T_1)&lt;=T_1 ),  ϒ/R_3, 0)</f>
        <v>597.77559558810185</v>
      </c>
      <c r="S61" s="59">
        <f t="shared" si="11"/>
        <v>8.6539744683807929E-2</v>
      </c>
      <c r="T61" s="60">
        <f t="shared" si="12"/>
        <v>8.6539744683807935</v>
      </c>
      <c r="U61" s="64">
        <f t="shared" si="13"/>
        <v>9.1321949448512747</v>
      </c>
      <c r="V61"/>
      <c r="W61"/>
      <c r="X61"/>
      <c r="Y61"/>
      <c r="Z61"/>
      <c r="AA61"/>
      <c r="AB61"/>
      <c r="AC61"/>
      <c r="AD61"/>
      <c r="AE61"/>
    </row>
    <row r="62" spans="9:31" x14ac:dyDescent="0.25">
      <c r="I62" s="47"/>
      <c r="J62" s="46"/>
      <c r="K62" s="30">
        <f t="shared" si="14"/>
        <v>6.9642857142857131E-2</v>
      </c>
      <c r="L62" s="31">
        <f t="shared" si="0"/>
        <v>-3.9108616260057993E-4</v>
      </c>
      <c r="M62" s="32">
        <f t="shared" si="6"/>
        <v>0.21720401043949844</v>
      </c>
      <c r="N62" s="13">
        <f t="shared" si="9"/>
        <v>3.0261347179005407</v>
      </c>
      <c r="O62" s="32">
        <f t="shared" si="1"/>
        <v>21.720401043949842</v>
      </c>
      <c r="P62" s="13">
        <f t="shared" si="10"/>
        <v>2.2580136504604162</v>
      </c>
      <c r="Q62" s="13">
        <f>IF(AND(AND(AND(t-MOD(t,T_1)&gt;0,t &gt;t-MOD(t,T_1)),  AND(t-MOD(t,T_1)&gt;0,t &lt;=t-MOD(t,T_1)+T_1)), ω2dec &gt;= ω3),  ω2dec,  ω3  )</f>
        <v>21.720401043949842</v>
      </c>
      <c r="R62" s="13">
        <f>IF(   AND(   MOD(t,T_1)&gt;=3*T_1/4,   MOD(t,T_1)&lt;=T_1 ),  ϒ/R_3, 0)</f>
        <v>302.61347179005406</v>
      </c>
      <c r="S62" s="59">
        <f t="shared" si="11"/>
        <v>5.2005776199436332E-2</v>
      </c>
      <c r="T62" s="60">
        <f t="shared" si="12"/>
        <v>5.2005776199436333</v>
      </c>
      <c r="U62" s="64">
        <f t="shared" si="13"/>
        <v>5.4426683973756766</v>
      </c>
      <c r="V62"/>
      <c r="W62"/>
      <c r="X62"/>
      <c r="Y62"/>
      <c r="Z62"/>
      <c r="AA62"/>
      <c r="AB62"/>
      <c r="AC62"/>
      <c r="AD62"/>
      <c r="AE62"/>
    </row>
    <row r="63" spans="9:31" x14ac:dyDescent="0.25">
      <c r="I63" s="47"/>
      <c r="J63" s="50" t="s">
        <v>54</v>
      </c>
      <c r="K63" s="30">
        <f t="shared" si="14"/>
        <v>7.1428571428571411E-2</v>
      </c>
      <c r="L63" s="31">
        <f t="shared" si="0"/>
        <v>-5.0534663259549361E-18</v>
      </c>
      <c r="M63" s="32">
        <f t="shared" si="6"/>
        <v>0.21991148575128552</v>
      </c>
      <c r="N63" s="13">
        <f t="shared" si="9"/>
        <v>3.9102559377258944E-14</v>
      </c>
      <c r="O63" s="32">
        <f t="shared" si="1"/>
        <v>21.991148575128552</v>
      </c>
      <c r="P63" s="13">
        <f t="shared" si="10"/>
        <v>1.7458260540395578</v>
      </c>
      <c r="Q63" s="13">
        <f>IF(AND(AND(AND(t-MOD(t,T_1)&gt;0,t &gt;t-MOD(t,T_1)),  AND(t-MOD(t,T_1)&gt;0,t &lt;=t-MOD(t,T_1)+T_1)), ω2dec &gt;= ω3),  ω2dec,  ω3  )</f>
        <v>21.991148575128552</v>
      </c>
      <c r="R63" s="13">
        <f>IF(   AND(   MOD(t,T_1)&gt;=3*T_1/4,   MOD(t,T_1)&lt;=T_1 ),  ϒ/R_3, 0)</f>
        <v>3.9102559377258942E-12</v>
      </c>
      <c r="S63" s="59">
        <f t="shared" si="11"/>
        <v>1.6600000000000458E-2</v>
      </c>
      <c r="T63" s="60">
        <f t="shared" si="12"/>
        <v>1.6600000000000459</v>
      </c>
      <c r="U63" s="64">
        <f t="shared" si="13"/>
        <v>1.660000000000049</v>
      </c>
      <c r="V63"/>
      <c r="W63"/>
      <c r="X63"/>
      <c r="Y63"/>
      <c r="Z63"/>
      <c r="AA63"/>
      <c r="AB63"/>
      <c r="AC63"/>
      <c r="AD63"/>
      <c r="AE63"/>
    </row>
    <row r="64" spans="9:31" x14ac:dyDescent="0.25">
      <c r="I64" s="47"/>
      <c r="J64" s="46"/>
      <c r="K64" s="27">
        <f t="shared" si="14"/>
        <v>7.321428571428569E-2</v>
      </c>
      <c r="L64" s="28">
        <f t="shared" si="0"/>
        <v>3.9108616260057218E-4</v>
      </c>
      <c r="M64" s="29">
        <f t="shared" si="6"/>
        <v>0.21720401043949852</v>
      </c>
      <c r="N64" s="15">
        <f t="shared" si="9"/>
        <v>-3.0261347179004807</v>
      </c>
      <c r="O64" s="29">
        <f t="shared" si="1"/>
        <v>21.720401043949852</v>
      </c>
      <c r="P64" s="15">
        <f t="shared" si="10"/>
        <v>21.721142314453012</v>
      </c>
      <c r="Q64" s="15">
        <f>IF(AND(AND(AND(t-MOD(t,T_1)&gt;0,t &gt;t-MOD(t,T_1)),  AND(t-MOD(t,T_1)&gt;0,t &lt;=t-MOD(t,T_1)+T_1)), ω2dec &gt;= ω3),  ω2dec,  ω3  )</f>
        <v>21.721142314453012</v>
      </c>
      <c r="R64" s="15">
        <f>IF(   AND(   MOD(t,T_1)&gt;=3*T_1/4,   MOD(t,T_1)&lt;=T_1 ),  ϒ/R_3, 0)</f>
        <v>0</v>
      </c>
      <c r="S64" s="70">
        <f t="shared" si="11"/>
        <v>0</v>
      </c>
      <c r="T64" s="71">
        <f t="shared" si="12"/>
        <v>0</v>
      </c>
      <c r="U64" s="72">
        <f t="shared" si="13"/>
        <v>-0.24209077743203847</v>
      </c>
      <c r="V64"/>
      <c r="W64"/>
      <c r="X64"/>
      <c r="Y64"/>
      <c r="Z64"/>
      <c r="AA64"/>
      <c r="AB64"/>
      <c r="AC64"/>
      <c r="AD64"/>
      <c r="AE64"/>
    </row>
    <row r="65" spans="2:31" x14ac:dyDescent="0.25">
      <c r="I65" s="47"/>
      <c r="J65" s="46"/>
      <c r="K65" s="27">
        <f t="shared" si="14"/>
        <v>7.4999999999999969E-2</v>
      </c>
      <c r="L65" s="28">
        <f t="shared" si="0"/>
        <v>7.7254248593736162E-4</v>
      </c>
      <c r="M65" s="29">
        <f t="shared" si="6"/>
        <v>0.20914825153190914</v>
      </c>
      <c r="N65" s="15">
        <f t="shared" si="9"/>
        <v>-5.9777559558809443</v>
      </c>
      <c r="O65" s="29">
        <f t="shared" si="1"/>
        <v>20.914825153190915</v>
      </c>
      <c r="P65" s="15">
        <f t="shared" si="10"/>
        <v>21.208954718032157</v>
      </c>
      <c r="Q65" s="15">
        <f>IF(AND(AND(AND(t-MOD(t,T_1)&gt;0,t &gt;t-MOD(t,T_1)),  AND(t-MOD(t,T_1)&gt;0,t &lt;=t-MOD(t,T_1)+T_1)), ω2dec &gt;= ω3),  ω2dec,  ω3  )</f>
        <v>21.208954718032157</v>
      </c>
      <c r="R65" s="15">
        <f>IF(   AND(   MOD(t,T_1)&gt;=3*T_1/4,   MOD(t,T_1)&lt;=T_1 ),  ϒ/R_3, 0)</f>
        <v>0</v>
      </c>
      <c r="S65" s="70">
        <f t="shared" si="11"/>
        <v>0</v>
      </c>
      <c r="T65" s="71">
        <f t="shared" si="12"/>
        <v>0</v>
      </c>
      <c r="U65" s="72">
        <f t="shared" si="13"/>
        <v>-0.47822047647047555</v>
      </c>
      <c r="V65"/>
      <c r="W65"/>
      <c r="X65"/>
      <c r="Y65"/>
      <c r="Z65"/>
      <c r="AA65"/>
      <c r="AB65"/>
      <c r="AC65"/>
      <c r="AD65"/>
      <c r="AE65"/>
    </row>
    <row r="66" spans="2:31" x14ac:dyDescent="0.25">
      <c r="I66" s="47"/>
      <c r="J66" s="46"/>
      <c r="K66" s="27">
        <f t="shared" si="14"/>
        <v>7.6785714285714249E-2</v>
      </c>
      <c r="L66" s="28">
        <f t="shared" si="0"/>
        <v>1.1349762493488586E-3</v>
      </c>
      <c r="M66" s="29">
        <f t="shared" si="6"/>
        <v>0.19594256854835307</v>
      </c>
      <c r="N66" s="15">
        <f t="shared" si="9"/>
        <v>-8.7821850031930246</v>
      </c>
      <c r="O66" s="29">
        <f t="shared" si="1"/>
        <v>19.594256854835308</v>
      </c>
      <c r="P66" s="15">
        <f t="shared" si="10"/>
        <v>20.696767121611302</v>
      </c>
      <c r="Q66" s="15">
        <f>IF(AND(AND(AND(t-MOD(t,T_1)&gt;0,t &gt;t-MOD(t,T_1)),  AND(t-MOD(t,T_1)&gt;0,t &lt;=t-MOD(t,T_1)+T_1)), ω2dec &gt;= ω3),  ω2dec,  ω3  )</f>
        <v>20.696767121611302</v>
      </c>
      <c r="R66" s="15">
        <f>IF(   AND(   MOD(t,T_1)&gt;=3*T_1/4,   MOD(t,T_1)&lt;=T_1 ),  ϒ/R_3, 0)</f>
        <v>0</v>
      </c>
      <c r="S66" s="70">
        <f t="shared" si="11"/>
        <v>0</v>
      </c>
      <c r="T66" s="71">
        <f t="shared" si="12"/>
        <v>0</v>
      </c>
      <c r="U66" s="72">
        <f t="shared" si="13"/>
        <v>-0.70257480025544194</v>
      </c>
      <c r="V66"/>
      <c r="W66"/>
      <c r="X66"/>
      <c r="Y66"/>
      <c r="Z66"/>
      <c r="AA66"/>
      <c r="AB66"/>
      <c r="AC66"/>
      <c r="AD66"/>
      <c r="AE66"/>
    </row>
    <row r="67" spans="2:31" x14ac:dyDescent="0.25">
      <c r="E67" s="88" t="s">
        <v>68</v>
      </c>
      <c r="F67" s="88"/>
      <c r="G67" s="88"/>
      <c r="I67" s="47"/>
      <c r="J67" s="46"/>
      <c r="K67" s="27">
        <f t="shared" si="14"/>
        <v>7.8571428571428528E-2</v>
      </c>
      <c r="L67" s="28">
        <f t="shared" si="0"/>
        <v>1.4694631307311751E-3</v>
      </c>
      <c r="M67" s="29">
        <f t="shared" si="6"/>
        <v>0.17791212923103458</v>
      </c>
      <c r="N67" s="15">
        <f t="shared" si="9"/>
        <v>-11.370367509325515</v>
      </c>
      <c r="O67" s="29">
        <f t="shared" si="1"/>
        <v>17.791212923103458</v>
      </c>
      <c r="P67" s="15">
        <f t="shared" si="10"/>
        <v>20.184579525190447</v>
      </c>
      <c r="Q67" s="15">
        <f>IF(AND(AND(AND(t-MOD(t,T_1)&gt;0,t &gt;t-MOD(t,T_1)),  AND(t-MOD(t,T_1)&gt;0,t &lt;=t-MOD(t,T_1)+T_1)), ω2dec &gt;= ω3),  ω2dec,  ω3  )</f>
        <v>20.184579525190447</v>
      </c>
      <c r="R67" s="15">
        <f>IF(   AND(   MOD(t,T_1)&gt;=3*T_1/4,   MOD(t,T_1)&lt;=T_1 ),  ϒ/R_3, 0)</f>
        <v>0</v>
      </c>
      <c r="S67" s="70">
        <f t="shared" si="11"/>
        <v>0</v>
      </c>
      <c r="T67" s="71">
        <f t="shared" si="12"/>
        <v>0</v>
      </c>
      <c r="U67" s="72">
        <f t="shared" si="13"/>
        <v>-0.90962940074604126</v>
      </c>
      <c r="V67"/>
      <c r="W67"/>
      <c r="X67"/>
      <c r="Y67"/>
      <c r="Z67"/>
      <c r="AA67"/>
      <c r="AB67"/>
      <c r="AC67"/>
      <c r="AD67"/>
      <c r="AE67"/>
    </row>
    <row r="68" spans="2:31" x14ac:dyDescent="0.25">
      <c r="B68" s="87" t="s">
        <v>69</v>
      </c>
      <c r="C68" s="87"/>
      <c r="D68" s="87"/>
      <c r="E68" s="88"/>
      <c r="F68" s="88"/>
      <c r="G68" s="88"/>
      <c r="I68" s="47"/>
      <c r="J68" s="46"/>
      <c r="K68" s="27">
        <f t="shared" si="14"/>
        <v>8.0357142857142808E-2</v>
      </c>
      <c r="L68" s="28">
        <f t="shared" si="0"/>
        <v>1.7677669529663606E-3</v>
      </c>
      <c r="M68" s="29">
        <f t="shared" si="6"/>
        <v>0.15550090283554355</v>
      </c>
      <c r="N68" s="15">
        <f t="shared" si="9"/>
        <v>-13.678573831292141</v>
      </c>
      <c r="O68" s="29">
        <f t="shared" si="1"/>
        <v>15.550090283554354</v>
      </c>
      <c r="P68" s="15">
        <f t="shared" si="10"/>
        <v>19.672391928769589</v>
      </c>
      <c r="Q68" s="15">
        <f>IF(AND(AND(AND(t-MOD(t,T_1)&gt;0,t &gt;t-MOD(t,T_1)),  AND(t-MOD(t,T_1)&gt;0,t &lt;=t-MOD(t,T_1)+T_1)), ω2dec &gt;= ω3),  ω2dec,  ω3  )</f>
        <v>19.672391928769589</v>
      </c>
      <c r="R68" s="15">
        <f>IF(   AND(   MOD(t,T_1)&gt;=3*T_1/4,   MOD(t,T_1)&lt;=T_1 ),  ϒ/R_3, 0)</f>
        <v>0</v>
      </c>
      <c r="S68" s="70">
        <f t="shared" si="11"/>
        <v>0</v>
      </c>
      <c r="T68" s="71">
        <f t="shared" si="12"/>
        <v>0</v>
      </c>
      <c r="U68" s="72">
        <f t="shared" si="13"/>
        <v>-1.0942859065033712</v>
      </c>
      <c r="V68"/>
      <c r="W68"/>
      <c r="X68"/>
      <c r="Y68"/>
      <c r="Z68"/>
      <c r="AA68"/>
      <c r="AB68"/>
      <c r="AC68"/>
      <c r="AD68"/>
      <c r="AE68"/>
    </row>
    <row r="69" spans="2:31" ht="15" customHeight="1" x14ac:dyDescent="0.25">
      <c r="B69" s="87"/>
      <c r="C69" s="87"/>
      <c r="D69" s="87"/>
      <c r="E69" s="4" t="s">
        <v>70</v>
      </c>
      <c r="F69" s="51">
        <v>83</v>
      </c>
      <c r="I69" s="47"/>
      <c r="J69" s="46"/>
      <c r="K69" s="27">
        <f t="shared" si="14"/>
        <v>8.2142857142857087E-2</v>
      </c>
      <c r="L69" s="28">
        <f t="shared" si="0"/>
        <v>2.0225424859373602E-3</v>
      </c>
      <c r="M69" s="29">
        <f t="shared" si="6"/>
        <v>0.12926072813433298</v>
      </c>
      <c r="N69" s="15">
        <f t="shared" si="9"/>
        <v>-15.649968268948506</v>
      </c>
      <c r="O69" s="29">
        <f t="shared" si="1"/>
        <v>12.926072813433297</v>
      </c>
      <c r="P69" s="15">
        <f t="shared" si="10"/>
        <v>19.160204332348734</v>
      </c>
      <c r="Q69" s="15">
        <f>IF(AND(AND(AND(t-MOD(t,T_1)&gt;0,t &gt;t-MOD(t,T_1)),  AND(t-MOD(t,T_1)&gt;0,t &lt;=t-MOD(t,T_1)+T_1)), ω2dec &gt;= ω3),  ω2dec,  ω3  )</f>
        <v>19.160204332348734</v>
      </c>
      <c r="R69" s="15">
        <f>IF(   AND(   MOD(t,T_1)&gt;=3*T_1/4,   MOD(t,T_1)&lt;=T_1 ),  ϒ/R_3, 0)</f>
        <v>0</v>
      </c>
      <c r="S69" s="70">
        <f t="shared" si="11"/>
        <v>0</v>
      </c>
      <c r="T69" s="71">
        <f t="shared" si="12"/>
        <v>0</v>
      </c>
      <c r="U69" s="72">
        <f t="shared" si="13"/>
        <v>-1.2519974615158804</v>
      </c>
      <c r="V69"/>
      <c r="W69"/>
      <c r="X69"/>
      <c r="Y69"/>
      <c r="Z69"/>
      <c r="AA69"/>
      <c r="AB69"/>
      <c r="AC69"/>
      <c r="AD69"/>
      <c r="AE69"/>
    </row>
    <row r="70" spans="2:31" x14ac:dyDescent="0.25">
      <c r="B70" s="87"/>
      <c r="C70" s="87"/>
      <c r="D70" s="87"/>
      <c r="I70" s="47"/>
      <c r="J70" s="46"/>
      <c r="K70" s="27">
        <f t="shared" si="14"/>
        <v>8.3928571428571366E-2</v>
      </c>
      <c r="L70" s="28">
        <f t="shared" si="0"/>
        <v>2.2275163104709134E-3</v>
      </c>
      <c r="M70" s="29">
        <f t="shared" si="6"/>
        <v>9.983772531469344E-2</v>
      </c>
      <c r="N70" s="15">
        <f t="shared" si="9"/>
        <v>-17.236008548556494</v>
      </c>
      <c r="O70" s="29">
        <f t="shared" si="1"/>
        <v>9.9837725314693433</v>
      </c>
      <c r="P70" s="15">
        <f t="shared" si="10"/>
        <v>18.648016735927879</v>
      </c>
      <c r="Q70" s="15">
        <f>IF(AND(AND(AND(t-MOD(t,T_1)&gt;0,t &gt;t-MOD(t,T_1)),  AND(t-MOD(t,T_1)&gt;0,t &lt;=t-MOD(t,T_1)+T_1)), ω2dec &gt;= ω3),  ω2dec,  ω3  )</f>
        <v>18.648016735927879</v>
      </c>
      <c r="R70" s="15">
        <f>IF(   AND(   MOD(t,T_1)&gt;=3*T_1/4,   MOD(t,T_1)&lt;=T_1 ),  ϒ/R_3, 0)</f>
        <v>0</v>
      </c>
      <c r="S70" s="70">
        <f t="shared" si="11"/>
        <v>0</v>
      </c>
      <c r="T70" s="71">
        <f t="shared" si="12"/>
        <v>0</v>
      </c>
      <c r="U70" s="72">
        <f t="shared" si="13"/>
        <v>-1.3788806838845196</v>
      </c>
      <c r="V70"/>
      <c r="W70"/>
      <c r="X70"/>
      <c r="Y70"/>
      <c r="Z70"/>
      <c r="AA70"/>
      <c r="AB70"/>
      <c r="AC70"/>
      <c r="AD70"/>
      <c r="AE70"/>
    </row>
    <row r="71" spans="2:31" x14ac:dyDescent="0.25">
      <c r="B71" s="87"/>
      <c r="C71" s="87"/>
      <c r="D71" s="87"/>
      <c r="E71" s="4" t="s">
        <v>66</v>
      </c>
      <c r="F71" s="44">
        <f>F69/10000</f>
        <v>8.3000000000000001E-3</v>
      </c>
      <c r="G71" t="s">
        <v>65</v>
      </c>
      <c r="I71" s="47"/>
      <c r="J71" s="46"/>
      <c r="K71" s="27">
        <f t="shared" si="14"/>
        <v>8.5714285714285646E-2</v>
      </c>
      <c r="L71" s="28">
        <f t="shared" si="0"/>
        <v>2.3776412907378789E-3</v>
      </c>
      <c r="M71" s="29">
        <f t="shared" si="6"/>
        <v>6.7956386355392695E-2</v>
      </c>
      <c r="N71" s="15">
        <f t="shared" si="9"/>
        <v>-18.397641094666231</v>
      </c>
      <c r="O71" s="29">
        <f t="shared" si="1"/>
        <v>6.7956386355392695</v>
      </c>
      <c r="P71" s="15">
        <f t="shared" si="10"/>
        <v>18.13582913950702</v>
      </c>
      <c r="Q71" s="15">
        <f>IF(AND(AND(AND(t-MOD(t,T_1)&gt;0,t &gt;t-MOD(t,T_1)),  AND(t-MOD(t,T_1)&gt;0,t &lt;=t-MOD(t,T_1)+T_1)), ω2dec &gt;= ω3),  ω2dec,  ω3  )</f>
        <v>18.13582913950702</v>
      </c>
      <c r="R71" s="15">
        <f>IF(   AND(   MOD(t,T_1)&gt;=3*T_1/4,   MOD(t,T_1)&lt;=T_1 ),  ϒ/R_3, 0)</f>
        <v>0</v>
      </c>
      <c r="S71" s="70">
        <f t="shared" si="11"/>
        <v>0</v>
      </c>
      <c r="T71" s="71">
        <f t="shared" si="12"/>
        <v>0</v>
      </c>
      <c r="U71" s="72">
        <f t="shared" si="13"/>
        <v>-1.4718112875732985</v>
      </c>
      <c r="V71"/>
      <c r="W71"/>
      <c r="X71"/>
      <c r="Y71"/>
      <c r="Z71"/>
      <c r="AA71"/>
      <c r="AB71"/>
      <c r="AC71"/>
      <c r="AD71"/>
      <c r="AE71"/>
    </row>
    <row r="72" spans="2:31" x14ac:dyDescent="0.25">
      <c r="I72" s="47"/>
      <c r="J72" s="46"/>
      <c r="K72" s="27">
        <f t="shared" si="14"/>
        <v>8.7499999999999925E-2</v>
      </c>
      <c r="L72" s="28">
        <f t="shared" si="0"/>
        <v>2.4692208514878419E-3</v>
      </c>
      <c r="M72" s="29">
        <f t="shared" si="6"/>
        <v>3.4401735629706123E-2</v>
      </c>
      <c r="N72" s="15">
        <f t="shared" si="9"/>
        <v>-19.106262658755117</v>
      </c>
      <c r="O72" s="29">
        <f t="shared" si="1"/>
        <v>3.4401735629706121</v>
      </c>
      <c r="P72" s="15">
        <f t="shared" si="10"/>
        <v>17.623641543086165</v>
      </c>
      <c r="Q72" s="15">
        <f>IF(AND(AND(AND(t-MOD(t,T_1)&gt;0,t &gt;t-MOD(t,T_1)),  AND(t-MOD(t,T_1)&gt;0,t &lt;=t-MOD(t,T_1)+T_1)), ω2dec &gt;= ω3),  ω2dec,  ω3  )</f>
        <v>17.623641543086165</v>
      </c>
      <c r="R72" s="15">
        <f>IF(   AND(   MOD(t,T_1)&gt;=3*T_1/4,   MOD(t,T_1)&lt;=T_1 ),  ϒ/R_3, 0)</f>
        <v>0</v>
      </c>
      <c r="S72" s="70">
        <f t="shared" si="11"/>
        <v>0</v>
      </c>
      <c r="T72" s="71">
        <f t="shared" si="12"/>
        <v>0</v>
      </c>
      <c r="U72" s="72">
        <f t="shared" si="13"/>
        <v>-1.5285010127004095</v>
      </c>
      <c r="V72"/>
      <c r="W72"/>
      <c r="X72"/>
      <c r="Y72"/>
      <c r="Z72"/>
      <c r="AA72"/>
      <c r="AB72"/>
      <c r="AC72"/>
      <c r="AD72"/>
      <c r="AE72"/>
    </row>
    <row r="73" spans="2:31" x14ac:dyDescent="0.25">
      <c r="I73" s="47"/>
      <c r="J73" s="46" t="s">
        <v>58</v>
      </c>
      <c r="K73" s="27">
        <f t="shared" si="14"/>
        <v>8.9285714285714204E-2</v>
      </c>
      <c r="L73" s="28">
        <f t="shared" si="0"/>
        <v>2.5000000000000001E-3</v>
      </c>
      <c r="M73" s="29">
        <f t="shared" si="6"/>
        <v>1.6299211413540786E-15</v>
      </c>
      <c r="N73" s="15">
        <f t="shared" si="9"/>
        <v>-19.344424626135144</v>
      </c>
      <c r="O73" s="29">
        <f t="shared" si="1"/>
        <v>1.6299211413540787E-13</v>
      </c>
      <c r="P73" s="15">
        <f t="shared" si="10"/>
        <v>17.111453946665311</v>
      </c>
      <c r="Q73" s="15">
        <f>IF(AND(AND(AND(t-MOD(t,T_1)&gt;0,t &gt;t-MOD(t,T_1)),  AND(t-MOD(t,T_1)&gt;0,t &lt;=t-MOD(t,T_1)+T_1)), ω2dec &gt;= ω3),  ω2dec,  ω3  )</f>
        <v>17.111453946665311</v>
      </c>
      <c r="R73" s="15">
        <f>IF(   AND(   MOD(t,T_1)&gt;=3*T_1/4,   MOD(t,T_1)&lt;=T_1 ),  ϒ/R_3, 0)</f>
        <v>0</v>
      </c>
      <c r="S73" s="70">
        <f t="shared" si="11"/>
        <v>0</v>
      </c>
      <c r="T73" s="71">
        <f t="shared" si="12"/>
        <v>0</v>
      </c>
      <c r="U73" s="72">
        <f t="shared" si="13"/>
        <v>-1.5475539700908116</v>
      </c>
      <c r="V73"/>
      <c r="W73"/>
      <c r="X73"/>
      <c r="Y73"/>
      <c r="Z73"/>
      <c r="AA73"/>
      <c r="AB73"/>
      <c r="AC73"/>
      <c r="AD73"/>
      <c r="AE73"/>
    </row>
    <row r="74" spans="2:31" x14ac:dyDescent="0.25">
      <c r="I74" s="47"/>
      <c r="J74" s="46"/>
      <c r="K74" s="27">
        <f t="shared" si="14"/>
        <v>9.1071428571428484E-2</v>
      </c>
      <c r="L74" s="28">
        <f t="shared" si="0"/>
        <v>2.4692208514878475E-3</v>
      </c>
      <c r="M74" s="29">
        <f t="shared" si="6"/>
        <v>-3.4401735629702897E-2</v>
      </c>
      <c r="N74" s="15">
        <f t="shared" si="9"/>
        <v>-19.106262658755163</v>
      </c>
      <c r="O74" s="29">
        <f t="shared" si="1"/>
        <v>-3.4401735629702896</v>
      </c>
      <c r="P74" s="15">
        <f t="shared" si="10"/>
        <v>16.599266350244456</v>
      </c>
      <c r="Q74" s="15">
        <f>IF(AND(AND(AND(t-MOD(t,T_1)&gt;0,t &gt;t-MOD(t,T_1)),  AND(t-MOD(t,T_1)&gt;0,t &lt;=t-MOD(t,T_1)+T_1)), ω2dec &gt;= ω3),  ω2dec,  ω3  )</f>
        <v>16.599266350244456</v>
      </c>
      <c r="R74" s="15">
        <f>IF(   AND(   MOD(t,T_1)&gt;=3*T_1/4,   MOD(t,T_1)&lt;=T_1 ),  ϒ/R_3, 0)</f>
        <v>0</v>
      </c>
      <c r="S74" s="70">
        <f t="shared" si="11"/>
        <v>0</v>
      </c>
      <c r="T74" s="71">
        <f t="shared" si="12"/>
        <v>0</v>
      </c>
      <c r="U74" s="72">
        <f t="shared" si="13"/>
        <v>-1.5285010127004131</v>
      </c>
      <c r="V74"/>
      <c r="W74"/>
      <c r="X74"/>
      <c r="Y74"/>
      <c r="Z74"/>
      <c r="AA74"/>
      <c r="AB74"/>
      <c r="AC74"/>
      <c r="AD74"/>
      <c r="AE74"/>
    </row>
    <row r="75" spans="2:31" x14ac:dyDescent="0.25">
      <c r="D75" s="4" t="s">
        <v>79</v>
      </c>
      <c r="E75" s="63">
        <f>ROUNDUP(MAX(Fd),1)</f>
        <v>24.3</v>
      </c>
      <c r="F75" t="s">
        <v>80</v>
      </c>
      <c r="I75" s="47"/>
      <c r="J75" s="46"/>
      <c r="K75" s="27">
        <f t="shared" si="14"/>
        <v>9.2857142857142763E-2</v>
      </c>
      <c r="L75" s="28">
        <f t="shared" si="0"/>
        <v>2.377641290737891E-3</v>
      </c>
      <c r="M75" s="29">
        <f t="shared" si="6"/>
        <v>-6.7956386355389406E-2</v>
      </c>
      <c r="N75" s="15">
        <f t="shared" si="9"/>
        <v>-18.397641094666323</v>
      </c>
      <c r="O75" s="29">
        <f t="shared" si="1"/>
        <v>-6.7956386355389409</v>
      </c>
      <c r="P75" s="15">
        <f t="shared" si="10"/>
        <v>16.087078753823597</v>
      </c>
      <c r="Q75" s="15">
        <f>IF(AND(AND(AND(t-MOD(t,T_1)&gt;0,t &gt;t-MOD(t,T_1)),  AND(t-MOD(t,T_1)&gt;0,t &lt;=t-MOD(t,T_1)+T_1)), ω2dec &gt;= ω3),  ω2dec,  ω3  )</f>
        <v>16.087078753823597</v>
      </c>
      <c r="R75" s="15">
        <f>IF(   AND(   MOD(t,T_1)&gt;=3*T_1/4,   MOD(t,T_1)&lt;=T_1 ),  ϒ/R_3, 0)</f>
        <v>0</v>
      </c>
      <c r="S75" s="70">
        <f t="shared" si="11"/>
        <v>0</v>
      </c>
      <c r="T75" s="71">
        <f t="shared" si="12"/>
        <v>0</v>
      </c>
      <c r="U75" s="72">
        <f t="shared" si="13"/>
        <v>-1.4718112875733058</v>
      </c>
      <c r="V75"/>
      <c r="W75"/>
      <c r="X75"/>
      <c r="Y75"/>
      <c r="Z75"/>
      <c r="AA75"/>
      <c r="AB75"/>
      <c r="AC75"/>
      <c r="AD75"/>
      <c r="AE75"/>
    </row>
    <row r="76" spans="2:31" x14ac:dyDescent="0.25">
      <c r="I76" s="47"/>
      <c r="J76" s="46"/>
      <c r="K76" s="27">
        <f t="shared" si="14"/>
        <v>9.4642857142857043E-2</v>
      </c>
      <c r="L76" s="28">
        <f t="shared" si="0"/>
        <v>2.227516310470929E-3</v>
      </c>
      <c r="M76" s="29">
        <f t="shared" si="6"/>
        <v>-9.9837725314690706E-2</v>
      </c>
      <c r="N76" s="15">
        <f t="shared" si="9"/>
        <v>-17.236008548556615</v>
      </c>
      <c r="O76" s="29">
        <f t="shared" si="1"/>
        <v>-9.9837725314690697</v>
      </c>
      <c r="P76" s="15">
        <f t="shared" si="10"/>
        <v>15.574891157402742</v>
      </c>
      <c r="Q76" s="15">
        <f>IF(AND(AND(AND(t-MOD(t,T_1)&gt;0,t &gt;t-MOD(t,T_1)),  AND(t-MOD(t,T_1)&gt;0,t &lt;=t-MOD(t,T_1)+T_1)), ω2dec &gt;= ω3),  ω2dec,  ω3  )</f>
        <v>15.574891157402742</v>
      </c>
      <c r="R76" s="15">
        <f>IF(   AND(   MOD(t,T_1)&gt;=3*T_1/4,   MOD(t,T_1)&lt;=T_1 ),  ϒ/R_3, 0)</f>
        <v>0</v>
      </c>
      <c r="S76" s="70">
        <f t="shared" si="11"/>
        <v>0</v>
      </c>
      <c r="T76" s="71">
        <f t="shared" si="12"/>
        <v>0</v>
      </c>
      <c r="U76" s="72">
        <f t="shared" si="13"/>
        <v>-1.3788806838845293</v>
      </c>
      <c r="V76"/>
      <c r="W76"/>
      <c r="X76"/>
      <c r="Y76"/>
      <c r="Z76"/>
      <c r="AA76"/>
      <c r="AB76"/>
      <c r="AC76"/>
      <c r="AD76"/>
      <c r="AE76"/>
    </row>
    <row r="77" spans="2:31" x14ac:dyDescent="0.25">
      <c r="I77" s="47"/>
      <c r="J77" s="46"/>
      <c r="K77" s="27">
        <f t="shared" si="14"/>
        <v>9.6428571428571322E-2</v>
      </c>
      <c r="L77" s="28">
        <f t="shared" si="0"/>
        <v>2.0225424859373823E-3</v>
      </c>
      <c r="M77" s="29">
        <f t="shared" si="6"/>
        <v>-0.12926072813433034</v>
      </c>
      <c r="N77" s="15">
        <f t="shared" si="9"/>
        <v>-15.649968268948676</v>
      </c>
      <c r="O77" s="29">
        <f t="shared" si="1"/>
        <v>-12.926072813433034</v>
      </c>
      <c r="P77" s="15">
        <f t="shared" si="10"/>
        <v>15.062703560981886</v>
      </c>
      <c r="Q77" s="15">
        <f>IF(AND(AND(AND(t-MOD(t,T_1)&gt;0,t &gt;t-MOD(t,T_1)),  AND(t-MOD(t,T_1)&gt;0,t &lt;=t-MOD(t,T_1)+T_1)), ω2dec &gt;= ω3),  ω2dec,  ω3  )</f>
        <v>15.062703560981886</v>
      </c>
      <c r="R77" s="15">
        <f>IF(   AND(   MOD(t,T_1)&gt;=3*T_1/4,   MOD(t,T_1)&lt;=T_1 ),  ϒ/R_3, 0)</f>
        <v>0</v>
      </c>
      <c r="S77" s="70">
        <f t="shared" si="11"/>
        <v>0</v>
      </c>
      <c r="T77" s="71">
        <f t="shared" si="12"/>
        <v>0</v>
      </c>
      <c r="U77" s="72">
        <f t="shared" si="13"/>
        <v>-1.2519974615158942</v>
      </c>
      <c r="V77"/>
      <c r="W77"/>
      <c r="X77"/>
      <c r="Y77"/>
      <c r="Z77"/>
      <c r="AA77"/>
      <c r="AB77"/>
      <c r="AC77"/>
      <c r="AD77"/>
      <c r="AE77"/>
    </row>
    <row r="78" spans="2:31" x14ac:dyDescent="0.25">
      <c r="I78" s="47"/>
      <c r="J78" s="46"/>
      <c r="K78" s="27">
        <f t="shared" si="14"/>
        <v>9.8214285714285601E-2</v>
      </c>
      <c r="L78" s="28">
        <f t="shared" si="0"/>
        <v>1.7677669529663868E-3</v>
      </c>
      <c r="M78" s="29">
        <f t="shared" si="6"/>
        <v>-0.15550090283554124</v>
      </c>
      <c r="N78" s="15">
        <f t="shared" si="9"/>
        <v>-13.678573831292343</v>
      </c>
      <c r="O78" s="29">
        <f t="shared" si="1"/>
        <v>-15.550090283554123</v>
      </c>
      <c r="P78" s="15">
        <f t="shared" si="10"/>
        <v>14.550515964561029</v>
      </c>
      <c r="Q78" s="15">
        <f>IF(AND(AND(AND(t-MOD(t,T_1)&gt;0,t &gt;t-MOD(t,T_1)),  AND(t-MOD(t,T_1)&gt;0,t &lt;=t-MOD(t,T_1)+T_1)), ω2dec &gt;= ω3),  ω2dec,  ω3  )</f>
        <v>14.550515964561029</v>
      </c>
      <c r="R78" s="15">
        <f>IF(   AND(   MOD(t,T_1)&gt;=3*T_1/4,   MOD(t,T_1)&lt;=T_1 ),  ϒ/R_3, 0)</f>
        <v>0</v>
      </c>
      <c r="S78" s="70">
        <f t="shared" si="11"/>
        <v>0</v>
      </c>
      <c r="T78" s="71">
        <f t="shared" si="12"/>
        <v>0</v>
      </c>
      <c r="U78" s="72">
        <f t="shared" si="13"/>
        <v>-1.0942859065033874</v>
      </c>
      <c r="V78"/>
      <c r="W78"/>
      <c r="X78"/>
      <c r="Y78"/>
      <c r="Z78"/>
      <c r="AA78"/>
      <c r="AB78"/>
      <c r="AC78"/>
      <c r="AD78"/>
      <c r="AE78"/>
    </row>
    <row r="79" spans="2:31" x14ac:dyDescent="0.25">
      <c r="I79" s="47"/>
      <c r="J79" s="46"/>
      <c r="K79" s="27">
        <f t="shared" si="14"/>
        <v>9.9999999999999881E-2</v>
      </c>
      <c r="L79" s="28">
        <f t="shared" si="0"/>
        <v>1.469463130731205E-3</v>
      </c>
      <c r="M79" s="29">
        <f t="shared" si="6"/>
        <v>-0.17791212923103267</v>
      </c>
      <c r="N79" s="15">
        <f t="shared" si="9"/>
        <v>-11.370367509325748</v>
      </c>
      <c r="O79" s="29">
        <f t="shared" si="1"/>
        <v>-17.791212923103267</v>
      </c>
      <c r="P79" s="15">
        <f t="shared" si="10"/>
        <v>14.038328368140174</v>
      </c>
      <c r="Q79" s="15">
        <f>IF(AND(AND(AND(t-MOD(t,T_1)&gt;0,t &gt;t-MOD(t,T_1)),  AND(t-MOD(t,T_1)&gt;0,t &lt;=t-MOD(t,T_1)+T_1)), ω2dec &gt;= ω3),  ω2dec,  ω3  )</f>
        <v>14.038328368140174</v>
      </c>
      <c r="R79" s="15">
        <f>IF(   AND(   MOD(t,T_1)&gt;=3*T_1/4,   MOD(t,T_1)&lt;=T_1 ),  ϒ/R_3, 0)</f>
        <v>0</v>
      </c>
      <c r="S79" s="70">
        <f t="shared" si="11"/>
        <v>0</v>
      </c>
      <c r="T79" s="71">
        <f t="shared" si="12"/>
        <v>0</v>
      </c>
      <c r="U79" s="72">
        <f t="shared" si="13"/>
        <v>-0.9096294007460598</v>
      </c>
      <c r="V79"/>
      <c r="W79"/>
      <c r="X79"/>
      <c r="Y79"/>
      <c r="Z79"/>
      <c r="AA79"/>
      <c r="AB79"/>
      <c r="AC79"/>
      <c r="AD79"/>
      <c r="AE79"/>
    </row>
    <row r="80" spans="2:31" x14ac:dyDescent="0.25">
      <c r="I80" s="47"/>
      <c r="J80" s="46"/>
      <c r="K80" s="27">
        <f t="shared" si="14"/>
        <v>0.10178571428571416</v>
      </c>
      <c r="L80" s="28">
        <f t="shared" si="0"/>
        <v>1.1349762493488935E-3</v>
      </c>
      <c r="M80" s="29">
        <f t="shared" si="6"/>
        <v>-0.19594256854835151</v>
      </c>
      <c r="N80" s="15">
        <f t="shared" si="9"/>
        <v>-8.7821850031932946</v>
      </c>
      <c r="O80" s="29">
        <f t="shared" si="1"/>
        <v>-19.594256854835152</v>
      </c>
      <c r="P80" s="15">
        <f t="shared" si="10"/>
        <v>13.526140771719318</v>
      </c>
      <c r="Q80" s="15">
        <f>IF(AND(AND(AND(t-MOD(t,T_1)&gt;0,t &gt;t-MOD(t,T_1)),  AND(t-MOD(t,T_1)&gt;0,t &lt;=t-MOD(t,T_1)+T_1)), ω2dec &gt;= ω3),  ω2dec,  ω3  )</f>
        <v>13.526140771719318</v>
      </c>
      <c r="R80" s="15">
        <f>IF(   AND(   MOD(t,T_1)&gt;=3*T_1/4,   MOD(t,T_1)&lt;=T_1 ),  ϒ/R_3, 0)</f>
        <v>0</v>
      </c>
      <c r="S80" s="70">
        <f t="shared" si="11"/>
        <v>0</v>
      </c>
      <c r="T80" s="71">
        <f t="shared" si="12"/>
        <v>0</v>
      </c>
      <c r="U80" s="72">
        <f t="shared" si="13"/>
        <v>-0.70257480025546359</v>
      </c>
      <c r="V80"/>
      <c r="W80"/>
      <c r="X80"/>
      <c r="Y80"/>
      <c r="Z80"/>
      <c r="AA80"/>
      <c r="AB80"/>
      <c r="AC80"/>
      <c r="AD80"/>
      <c r="AE80"/>
    </row>
    <row r="81" spans="9:31" x14ac:dyDescent="0.25">
      <c r="I81" s="47"/>
      <c r="J81" s="46"/>
      <c r="K81" s="27">
        <f t="shared" si="14"/>
        <v>0.10357142857142844</v>
      </c>
      <c r="L81" s="28">
        <f t="shared" si="0"/>
        <v>7.7254248593739902E-4</v>
      </c>
      <c r="M81" s="29">
        <f t="shared" si="6"/>
        <v>-0.20914825153190805</v>
      </c>
      <c r="N81" s="15">
        <f t="shared" si="9"/>
        <v>-5.9777559558812339</v>
      </c>
      <c r="O81" s="29">
        <f t="shared" si="1"/>
        <v>-20.914825153190804</v>
      </c>
      <c r="P81" s="15">
        <f t="shared" si="10"/>
        <v>13.013953175298463</v>
      </c>
      <c r="Q81" s="15">
        <f>IF(AND(AND(AND(t-MOD(t,T_1)&gt;0,t &gt;t-MOD(t,T_1)),  AND(t-MOD(t,T_1)&gt;0,t &lt;=t-MOD(t,T_1)+T_1)), ω2dec &gt;= ω3),  ω2dec,  ω3  )</f>
        <v>13.013953175298463</v>
      </c>
      <c r="R81" s="15">
        <f>IF(   AND(   MOD(t,T_1)&gt;=3*T_1/4,   MOD(t,T_1)&lt;=T_1 ),  ϒ/R_3, 0)</f>
        <v>0</v>
      </c>
      <c r="S81" s="70">
        <f t="shared" si="11"/>
        <v>0</v>
      </c>
      <c r="T81" s="71">
        <f t="shared" si="12"/>
        <v>0</v>
      </c>
      <c r="U81" s="72">
        <f t="shared" si="13"/>
        <v>-0.4782204764704987</v>
      </c>
      <c r="V81"/>
      <c r="W81"/>
      <c r="X81"/>
      <c r="Y81"/>
      <c r="Z81"/>
      <c r="AA81"/>
      <c r="AB81"/>
      <c r="AC81"/>
      <c r="AD81"/>
      <c r="AE81"/>
    </row>
    <row r="82" spans="9:31" x14ac:dyDescent="0.25">
      <c r="I82" s="47"/>
      <c r="J82" s="46"/>
      <c r="K82" s="27">
        <f t="shared" si="14"/>
        <v>0.10535714285714272</v>
      </c>
      <c r="L82" s="28">
        <f t="shared" si="0"/>
        <v>3.9108616260060661E-4</v>
      </c>
      <c r="M82" s="29">
        <f t="shared" si="6"/>
        <v>-0.21720401043949808</v>
      </c>
      <c r="N82" s="15">
        <f t="shared" si="9"/>
        <v>-3.0261347179007467</v>
      </c>
      <c r="O82" s="29">
        <f t="shared" si="1"/>
        <v>-21.720401043949806</v>
      </c>
      <c r="P82" s="15">
        <f t="shared" si="10"/>
        <v>12.501765578877604</v>
      </c>
      <c r="Q82" s="15">
        <f>IF(AND(AND(AND(t-MOD(t,T_1)&gt;0,t &gt;t-MOD(t,T_1)),  AND(t-MOD(t,T_1)&gt;0,t &lt;=t-MOD(t,T_1)+T_1)), ω2dec &gt;= ω3),  ω2dec,  ω3  )</f>
        <v>12.501765578877604</v>
      </c>
      <c r="R82" s="15">
        <f>IF(   AND(   MOD(t,T_1)&gt;=3*T_1/4,   MOD(t,T_1)&lt;=T_1 ),  ϒ/R_3, 0)</f>
        <v>0</v>
      </c>
      <c r="S82" s="70">
        <f t="shared" si="11"/>
        <v>0</v>
      </c>
      <c r="T82" s="71">
        <f t="shared" si="12"/>
        <v>0</v>
      </c>
      <c r="U82" s="72">
        <f t="shared" si="13"/>
        <v>-0.24209077743205976</v>
      </c>
      <c r="V82"/>
      <c r="W82"/>
      <c r="X82"/>
      <c r="Y82"/>
      <c r="Z82"/>
      <c r="AA82"/>
      <c r="AB82"/>
      <c r="AC82"/>
      <c r="AD82"/>
      <c r="AE82"/>
    </row>
    <row r="83" spans="9:31" x14ac:dyDescent="0.25">
      <c r="I83" s="49" t="s">
        <v>64</v>
      </c>
      <c r="J83" s="46" t="s">
        <v>59</v>
      </c>
      <c r="K83" s="27">
        <f t="shared" si="14"/>
        <v>0.107142857142857</v>
      </c>
      <c r="L83" s="28">
        <f t="shared" si="0"/>
        <v>3.2005106030685847E-17</v>
      </c>
      <c r="M83" s="29">
        <f t="shared" si="6"/>
        <v>-0.21991148575128552</v>
      </c>
      <c r="N83" s="15">
        <f t="shared" si="9"/>
        <v>-2.4764814450482629E-13</v>
      </c>
      <c r="O83" s="29">
        <f t="shared" si="1"/>
        <v>-21.991148575128552</v>
      </c>
      <c r="P83" s="15">
        <f t="shared" si="10"/>
        <v>11.989577982456749</v>
      </c>
      <c r="Q83" s="15">
        <f>IF(AND(AND(AND(t-MOD(t,T_1)&gt;0,t &gt;t-MOD(t,T_1)),  AND(t-MOD(t,T_1)&gt;0,t &lt;=t-MOD(t,T_1)+T_1)), ω2dec &gt;= ω3),  ω2dec,  ω3  )</f>
        <v>11.989577982456749</v>
      </c>
      <c r="R83" s="15">
        <f>IF(   AND(   MOD(t,T_1)&gt;=3*T_1/4,   MOD(t,T_1)&lt;=T_1 ),  ϒ/R_3, 0)</f>
        <v>0</v>
      </c>
      <c r="S83" s="70">
        <f t="shared" si="11"/>
        <v>0</v>
      </c>
      <c r="T83" s="71">
        <f t="shared" si="12"/>
        <v>0</v>
      </c>
      <c r="U83" s="72">
        <f t="shared" si="13"/>
        <v>-1.9811851560386104E-14</v>
      </c>
      <c r="V83"/>
      <c r="W83"/>
      <c r="X83"/>
      <c r="Y83"/>
      <c r="Z83"/>
      <c r="AA83"/>
      <c r="AB83"/>
      <c r="AC83"/>
      <c r="AD83"/>
      <c r="AE83"/>
    </row>
    <row r="84" spans="9:31" x14ac:dyDescent="0.25">
      <c r="I84" s="47"/>
      <c r="J84" s="46"/>
      <c r="K84" s="27">
        <f t="shared" si="14"/>
        <v>0.10892857142857128</v>
      </c>
      <c r="L84" s="28">
        <f t="shared" si="0"/>
        <v>-3.910861626005434E-4</v>
      </c>
      <c r="M84" s="29">
        <f t="shared" si="6"/>
        <v>-0.21720401043949894</v>
      </c>
      <c r="N84" s="15">
        <f t="shared" si="9"/>
        <v>3.0261347179002578</v>
      </c>
      <c r="O84" s="29">
        <f t="shared" si="1"/>
        <v>-21.720401043949895</v>
      </c>
      <c r="P84" s="15">
        <f t="shared" si="10"/>
        <v>11.477390386035893</v>
      </c>
      <c r="Q84" s="15">
        <f>IF(AND(AND(AND(t-MOD(t,T_1)&gt;0,t &gt;t-MOD(t,T_1)),  AND(t-MOD(t,T_1)&gt;0,t &lt;=t-MOD(t,T_1)+T_1)), ω2dec &gt;= ω3),  ω2dec,  ω3  )</f>
        <v>11.477390386035893</v>
      </c>
      <c r="R84" s="15">
        <f>IF(   AND(   MOD(t,T_1)&gt;=3*T_1/4,   MOD(t,T_1)&lt;=T_1 ),  ϒ/R_3, 0)</f>
        <v>0</v>
      </c>
      <c r="S84" s="70">
        <f t="shared" si="11"/>
        <v>0</v>
      </c>
      <c r="T84" s="71">
        <f t="shared" si="12"/>
        <v>0</v>
      </c>
      <c r="U84" s="72">
        <f t="shared" si="13"/>
        <v>0.24209077743202062</v>
      </c>
      <c r="V84"/>
      <c r="W84"/>
      <c r="X84"/>
      <c r="Y84"/>
      <c r="Z84"/>
      <c r="AA84"/>
      <c r="AB84"/>
      <c r="AC84"/>
      <c r="AD84"/>
      <c r="AE84"/>
    </row>
    <row r="85" spans="9:31" x14ac:dyDescent="0.25">
      <c r="I85" s="47"/>
      <c r="J85" s="46"/>
      <c r="K85" s="27">
        <f t="shared" si="14"/>
        <v>0.11071428571428556</v>
      </c>
      <c r="L85" s="28">
        <f t="shared" si="0"/>
        <v>-7.7254248593733397E-4</v>
      </c>
      <c r="M85" s="29">
        <f t="shared" si="6"/>
        <v>-0.20914825153190991</v>
      </c>
      <c r="N85" s="15">
        <f t="shared" si="9"/>
        <v>5.9777559558807303</v>
      </c>
      <c r="O85" s="29">
        <f t="shared" si="1"/>
        <v>-20.914825153190989</v>
      </c>
      <c r="P85" s="15">
        <f t="shared" si="10"/>
        <v>10.965202789615038</v>
      </c>
      <c r="Q85" s="15">
        <f>IF(AND(AND(AND(t-MOD(t,T_1)&gt;0,t &gt;t-MOD(t,T_1)),  AND(t-MOD(t,T_1)&gt;0,t &lt;=t-MOD(t,T_1)+T_1)), ω2dec &gt;= ω3),  ω2dec,  ω3  )</f>
        <v>10.965202789615038</v>
      </c>
      <c r="R85" s="15">
        <f>IF(   AND(   MOD(t,T_1)&gt;=3*T_1/4,   MOD(t,T_1)&lt;=T_1 ),  ϒ/R_3, 0)</f>
        <v>0</v>
      </c>
      <c r="S85" s="70">
        <f t="shared" si="11"/>
        <v>0</v>
      </c>
      <c r="T85" s="71">
        <f t="shared" si="12"/>
        <v>0</v>
      </c>
      <c r="U85" s="72">
        <f t="shared" si="13"/>
        <v>0.47822047647045846</v>
      </c>
      <c r="V85"/>
      <c r="W85"/>
      <c r="X85"/>
      <c r="Y85"/>
      <c r="Z85"/>
      <c r="AA85"/>
      <c r="AB85"/>
      <c r="AC85"/>
      <c r="AD85"/>
      <c r="AE85"/>
    </row>
    <row r="86" spans="9:31" x14ac:dyDescent="0.25">
      <c r="I86" s="47"/>
      <c r="J86" s="46"/>
      <c r="K86" s="27">
        <f t="shared" si="14"/>
        <v>0.11249999999999984</v>
      </c>
      <c r="L86" s="28">
        <f t="shared" si="0"/>
        <v>-1.1349762493488324E-3</v>
      </c>
      <c r="M86" s="29">
        <f t="shared" si="6"/>
        <v>-0.19594256854835423</v>
      </c>
      <c r="N86" s="15">
        <f t="shared" si="9"/>
        <v>8.7821850031928221</v>
      </c>
      <c r="O86" s="29">
        <f t="shared" si="1"/>
        <v>-19.594256854835422</v>
      </c>
      <c r="P86" s="15">
        <f t="shared" si="10"/>
        <v>10.453015193194183</v>
      </c>
      <c r="Q86" s="15">
        <f>IF(AND(AND(AND(t-MOD(t,T_1)&gt;0,t &gt;t-MOD(t,T_1)),  AND(t-MOD(t,T_1)&gt;0,t &lt;=t-MOD(t,T_1)+T_1)), ω2dec &gt;= ω3),  ω2dec,  ω3  )</f>
        <v>10.453015193194183</v>
      </c>
      <c r="R86" s="15">
        <f>IF(   AND(   MOD(t,T_1)&gt;=3*T_1/4,   MOD(t,T_1)&lt;=T_1 ),  ϒ/R_3, 0)</f>
        <v>0</v>
      </c>
      <c r="S86" s="70">
        <f t="shared" si="11"/>
        <v>0</v>
      </c>
      <c r="T86" s="71">
        <f t="shared" si="12"/>
        <v>0</v>
      </c>
      <c r="U86" s="72">
        <f t="shared" si="13"/>
        <v>0.70257480025542574</v>
      </c>
      <c r="V86"/>
      <c r="W86"/>
      <c r="X86"/>
      <c r="Y86"/>
      <c r="Z86"/>
      <c r="AA86"/>
      <c r="AB86"/>
      <c r="AC86"/>
      <c r="AD86"/>
      <c r="AE86"/>
    </row>
    <row r="87" spans="9:31" x14ac:dyDescent="0.25">
      <c r="I87" s="47"/>
      <c r="J87" s="46"/>
      <c r="K87" s="27">
        <f t="shared" si="14"/>
        <v>0.11428571428571412</v>
      </c>
      <c r="L87" s="28">
        <f t="shared" si="0"/>
        <v>-1.4694631307311534E-3</v>
      </c>
      <c r="M87" s="29">
        <f t="shared" si="6"/>
        <v>-0.17791212923103597</v>
      </c>
      <c r="N87" s="15">
        <f t="shared" ref="N87:N118" si="15">-A*ω^2*SIN(ω*t)</f>
        <v>11.370367509325348</v>
      </c>
      <c r="O87" s="29">
        <f t="shared" si="1"/>
        <v>-17.791212923103597</v>
      </c>
      <c r="P87" s="15">
        <f t="shared" ref="P87:P118" si="16">IF(ω3_tan-Cg*MOD((t-t_tan),T_1)/(J_1+Jg+Jv+J_2*K^2)&lt;0,  0,  ω3_tan-Cg*MOD((t-t_tan),T_1)/(J_1+Jg+Jv+J_2*K^2))</f>
        <v>9.9408275967733264</v>
      </c>
      <c r="Q87" s="15">
        <f>IF(AND(AND(AND(t-MOD(t,T_1)&gt;0,t &gt;t-MOD(t,T_1)),  AND(t-MOD(t,T_1)&gt;0,t &lt;=t-MOD(t,T_1)+T_1)), ω2dec &gt;= ω3),  ω2dec,  ω3  )</f>
        <v>9.9408275967733264</v>
      </c>
      <c r="R87" s="15">
        <f>IF(   AND(   MOD(t,T_1)&gt;=3*T_1/4,   MOD(t,T_1)&lt;=T_1 ),  ϒ/R_3, 0)</f>
        <v>0</v>
      </c>
      <c r="S87" s="70">
        <f t="shared" ref="S87:S118" si="17">IF(Accel2&lt;=0,0,Je*Accel2+Cg/K)</f>
        <v>0</v>
      </c>
      <c r="T87" s="71">
        <f t="shared" ref="T87:T118" si="18">C_2/R_3</f>
        <v>0</v>
      </c>
      <c r="U87" s="72">
        <f t="shared" ref="U87:U118" si="19">IF(Accel2&lt;=0,M*ϒ,M*ϒ+Fd)</f>
        <v>0.90962940074602783</v>
      </c>
      <c r="V87"/>
      <c r="W87"/>
      <c r="X87"/>
      <c r="Y87"/>
      <c r="Z87"/>
      <c r="AA87"/>
      <c r="AB87"/>
      <c r="AC87"/>
      <c r="AD87"/>
      <c r="AE87"/>
    </row>
    <row r="88" spans="9:31" x14ac:dyDescent="0.25">
      <c r="I88" s="47"/>
      <c r="J88" s="46"/>
      <c r="K88" s="27">
        <f t="shared" ref="K88:K119" si="20">K87+T_1/40</f>
        <v>0.11607142857142839</v>
      </c>
      <c r="L88" s="28">
        <f t="shared" si="0"/>
        <v>-1.7677669529663415E-3</v>
      </c>
      <c r="M88" s="29">
        <f t="shared" si="6"/>
        <v>-0.15550090283554521</v>
      </c>
      <c r="N88" s="15">
        <f t="shared" si="15"/>
        <v>13.678573831291994</v>
      </c>
      <c r="O88" s="29">
        <f t="shared" si="1"/>
        <v>-15.550090283554521</v>
      </c>
      <c r="P88" s="15">
        <f t="shared" si="16"/>
        <v>9.4286400003524715</v>
      </c>
      <c r="Q88" s="15">
        <f>IF(AND(AND(AND(t-MOD(t,T_1)&gt;0,t &gt;t-MOD(t,T_1)),  AND(t-MOD(t,T_1)&gt;0,t &lt;=t-MOD(t,T_1)+T_1)), ω2dec &gt;= ω3),  ω2dec,  ω3  )</f>
        <v>9.4286400003524715</v>
      </c>
      <c r="R88" s="15">
        <f>IF(   AND(   MOD(t,T_1)&gt;=3*T_1/4,   MOD(t,T_1)&lt;=T_1 ),  ϒ/R_3, 0)</f>
        <v>0</v>
      </c>
      <c r="S88" s="70">
        <f t="shared" si="17"/>
        <v>0</v>
      </c>
      <c r="T88" s="71">
        <f t="shared" si="18"/>
        <v>0</v>
      </c>
      <c r="U88" s="72">
        <f t="shared" si="19"/>
        <v>1.0942859065033594</v>
      </c>
      <c r="V88"/>
      <c r="W88"/>
      <c r="X88"/>
      <c r="Y88"/>
      <c r="Z88"/>
      <c r="AA88"/>
      <c r="AB88"/>
      <c r="AC88"/>
      <c r="AD88"/>
      <c r="AE88"/>
    </row>
    <row r="89" spans="9:31" x14ac:dyDescent="0.25">
      <c r="I89" s="47"/>
      <c r="J89" s="46"/>
      <c r="K89" s="27">
        <f t="shared" si="20"/>
        <v>0.11785714285714267</v>
      </c>
      <c r="L89" s="28">
        <f t="shared" si="0"/>
        <v>-2.0225424859373446E-3</v>
      </c>
      <c r="M89" s="29">
        <f t="shared" si="6"/>
        <v>-0.12926072813433487</v>
      </c>
      <c r="N89" s="15">
        <f t="shared" si="15"/>
        <v>15.649968268948383</v>
      </c>
      <c r="O89" s="29">
        <f t="shared" si="1"/>
        <v>-12.926072813433487</v>
      </c>
      <c r="P89" s="15">
        <f t="shared" si="16"/>
        <v>8.9164524039316131</v>
      </c>
      <c r="Q89" s="15">
        <f>IF(AND(AND(AND(t-MOD(t,T_1)&gt;0,t &gt;t-MOD(t,T_1)),  AND(t-MOD(t,T_1)&gt;0,t &lt;=t-MOD(t,T_1)+T_1)), ω2dec &gt;= ω3),  ω2dec,  ω3  )</f>
        <v>8.9164524039316131</v>
      </c>
      <c r="R89" s="15">
        <f>IF(   AND(   MOD(t,T_1)&gt;=3*T_1/4,   MOD(t,T_1)&lt;=T_1 ),  ϒ/R_3, 0)</f>
        <v>0</v>
      </c>
      <c r="S89" s="70">
        <f t="shared" si="17"/>
        <v>0</v>
      </c>
      <c r="T89" s="71">
        <f t="shared" si="18"/>
        <v>0</v>
      </c>
      <c r="U89" s="72">
        <f t="shared" si="19"/>
        <v>1.2519974615158707</v>
      </c>
      <c r="V89"/>
      <c r="W89"/>
      <c r="X89"/>
      <c r="Y89"/>
      <c r="Z89"/>
      <c r="AA89"/>
      <c r="AB89"/>
      <c r="AC89"/>
      <c r="AD89"/>
      <c r="AE89"/>
    </row>
    <row r="90" spans="9:31" x14ac:dyDescent="0.25">
      <c r="I90" s="47"/>
      <c r="J90" s="46"/>
      <c r="K90" s="27">
        <f t="shared" si="20"/>
        <v>0.11964285714285695</v>
      </c>
      <c r="L90" s="28">
        <f t="shared" si="0"/>
        <v>-2.2275163104709E-3</v>
      </c>
      <c r="M90" s="29">
        <f t="shared" si="6"/>
        <v>-9.9837725314695716E-2</v>
      </c>
      <c r="N90" s="15">
        <f t="shared" si="15"/>
        <v>17.236008548556391</v>
      </c>
      <c r="O90" s="29">
        <f t="shared" si="1"/>
        <v>-9.9837725314695707</v>
      </c>
      <c r="P90" s="15">
        <f t="shared" si="16"/>
        <v>8.4042648075107582</v>
      </c>
      <c r="Q90" s="15">
        <f>IF(AND(AND(AND(t-MOD(t,T_1)&gt;0,t &gt;t-MOD(t,T_1)),  AND(t-MOD(t,T_1)&gt;0,t &lt;=t-MOD(t,T_1)+T_1)), ω2dec &gt;= ω3),  ω2dec,  ω3  )</f>
        <v>8.4042648075107582</v>
      </c>
      <c r="R90" s="15">
        <f>IF(   AND(   MOD(t,T_1)&gt;=3*T_1/4,   MOD(t,T_1)&lt;=T_1 ),  ϒ/R_3, 0)</f>
        <v>0</v>
      </c>
      <c r="S90" s="70">
        <f t="shared" si="17"/>
        <v>0</v>
      </c>
      <c r="T90" s="71">
        <f t="shared" si="18"/>
        <v>0</v>
      </c>
      <c r="U90" s="72">
        <f t="shared" si="19"/>
        <v>1.3788806838845113</v>
      </c>
      <c r="V90"/>
      <c r="W90"/>
      <c r="X90"/>
      <c r="Y90"/>
      <c r="Z90"/>
      <c r="AA90"/>
      <c r="AB90"/>
      <c r="AC90"/>
      <c r="AD90"/>
      <c r="AE90"/>
    </row>
    <row r="91" spans="9:31" x14ac:dyDescent="0.25">
      <c r="I91" s="47"/>
      <c r="J91" s="46"/>
      <c r="K91" s="27">
        <f t="shared" si="20"/>
        <v>0.12142857142857123</v>
      </c>
      <c r="L91" s="28">
        <f t="shared" si="0"/>
        <v>-2.3776412907378702E-3</v>
      </c>
      <c r="M91" s="29">
        <f t="shared" si="6"/>
        <v>-6.7956386355395137E-2</v>
      </c>
      <c r="N91" s="15">
        <f t="shared" si="15"/>
        <v>18.397641094666159</v>
      </c>
      <c r="O91" s="29">
        <f t="shared" si="1"/>
        <v>-6.7956386355395137</v>
      </c>
      <c r="P91" s="15">
        <f t="shared" si="16"/>
        <v>7.8920772110899016</v>
      </c>
      <c r="Q91" s="15">
        <f>IF(AND(AND(AND(t-MOD(t,T_1)&gt;0,t &gt;t-MOD(t,T_1)),  AND(t-MOD(t,T_1)&gt;0,t &lt;=t-MOD(t,T_1)+T_1)), ω2dec &gt;= ω3),  ω2dec,  ω3  )</f>
        <v>7.8920772110899016</v>
      </c>
      <c r="R91" s="15">
        <f>IF(   AND(   MOD(t,T_1)&gt;=3*T_1/4,   MOD(t,T_1)&lt;=T_1 ),  ϒ/R_3, 0)</f>
        <v>0</v>
      </c>
      <c r="S91" s="70">
        <f t="shared" si="17"/>
        <v>0</v>
      </c>
      <c r="T91" s="71">
        <f t="shared" si="18"/>
        <v>0</v>
      </c>
      <c r="U91" s="72">
        <f t="shared" si="19"/>
        <v>1.4718112875732927</v>
      </c>
      <c r="V91"/>
      <c r="W91"/>
      <c r="X91"/>
      <c r="Y91"/>
      <c r="Z91"/>
      <c r="AA91"/>
      <c r="AB91"/>
      <c r="AC91"/>
      <c r="AD91"/>
      <c r="AE91"/>
    </row>
    <row r="92" spans="9:31" x14ac:dyDescent="0.25">
      <c r="I92" s="47"/>
      <c r="J92" s="46"/>
      <c r="K92" s="27">
        <f t="shared" si="20"/>
        <v>0.12321428571428551</v>
      </c>
      <c r="L92" s="28">
        <f t="shared" si="0"/>
        <v>-2.4692208514878375E-3</v>
      </c>
      <c r="M92" s="29">
        <f t="shared" si="6"/>
        <v>-3.4401735629708462E-2</v>
      </c>
      <c r="N92" s="15">
        <f t="shared" si="15"/>
        <v>19.106262658755085</v>
      </c>
      <c r="O92" s="29">
        <f t="shared" si="1"/>
        <v>-3.4401735629708461</v>
      </c>
      <c r="P92" s="15">
        <f t="shared" si="16"/>
        <v>7.3798896146690467</v>
      </c>
      <c r="Q92" s="15">
        <f>IF(AND(AND(AND(t-MOD(t,T_1)&gt;0,t &gt;t-MOD(t,T_1)),  AND(t-MOD(t,T_1)&gt;0,t &lt;=t-MOD(t,T_1)+T_1)), ω2dec &gt;= ω3),  ω2dec,  ω3  )</f>
        <v>7.3798896146690467</v>
      </c>
      <c r="R92" s="15">
        <f>IF(   AND(   MOD(t,T_1)&gt;=3*T_1/4,   MOD(t,T_1)&lt;=T_1 ),  ϒ/R_3, 0)</f>
        <v>0</v>
      </c>
      <c r="S92" s="70">
        <f t="shared" si="17"/>
        <v>0</v>
      </c>
      <c r="T92" s="71">
        <f t="shared" si="18"/>
        <v>0</v>
      </c>
      <c r="U92" s="72">
        <f t="shared" si="19"/>
        <v>1.5285010127004068</v>
      </c>
      <c r="V92"/>
      <c r="W92"/>
      <c r="X92"/>
      <c r="Y92"/>
      <c r="Z92"/>
      <c r="AA92"/>
      <c r="AB92"/>
      <c r="AC92"/>
      <c r="AD92"/>
      <c r="AE92"/>
    </row>
    <row r="93" spans="9:31" x14ac:dyDescent="0.25">
      <c r="I93" s="47"/>
      <c r="J93" s="46" t="s">
        <v>60</v>
      </c>
      <c r="K93" s="27">
        <f t="shared" si="20"/>
        <v>0.12499999999999979</v>
      </c>
      <c r="L93" s="28">
        <f t="shared" si="0"/>
        <v>-2.5000000000000001E-3</v>
      </c>
      <c r="M93" s="29">
        <f t="shared" si="6"/>
        <v>-4.0007111937143643E-15</v>
      </c>
      <c r="N93" s="15">
        <f t="shared" si="15"/>
        <v>19.344424626135144</v>
      </c>
      <c r="O93" s="29">
        <f t="shared" si="1"/>
        <v>-4.0007111937143642E-13</v>
      </c>
      <c r="P93" s="15">
        <f t="shared" si="16"/>
        <v>6.86770201824819</v>
      </c>
      <c r="Q93" s="15">
        <f>IF(AND(AND(AND(t-MOD(t,T_1)&gt;0,t &gt;t-MOD(t,T_1)),  AND(t-MOD(t,T_1)&gt;0,t &lt;=t-MOD(t,T_1)+T_1)), ω2dec &gt;= ω3),  ω2dec,  ω3  )</f>
        <v>6.86770201824819</v>
      </c>
      <c r="R93" s="15">
        <f>IF(   AND(   MOD(t,T_1)&gt;=3*T_1/4,   MOD(t,T_1)&lt;=T_1 ),  ϒ/R_3, 0)</f>
        <v>0</v>
      </c>
      <c r="S93" s="70">
        <f t="shared" si="17"/>
        <v>0</v>
      </c>
      <c r="T93" s="71">
        <f t="shared" si="18"/>
        <v>0</v>
      </c>
      <c r="U93" s="72">
        <f t="shared" si="19"/>
        <v>1.5475539700908116</v>
      </c>
      <c r="V93"/>
      <c r="W93"/>
      <c r="X93"/>
      <c r="Y93"/>
      <c r="Z93"/>
      <c r="AA93"/>
      <c r="AB93"/>
      <c r="AC93"/>
      <c r="AD93"/>
      <c r="AE93"/>
    </row>
    <row r="94" spans="9:31" x14ac:dyDescent="0.25">
      <c r="I94" s="47"/>
      <c r="J94" s="46"/>
      <c r="K94" s="30">
        <f t="shared" si="20"/>
        <v>0.12678571428571409</v>
      </c>
      <c r="L94" s="31">
        <f t="shared" si="0"/>
        <v>-2.469220851487851E-3</v>
      </c>
      <c r="M94" s="32">
        <f t="shared" si="6"/>
        <v>3.4401735629700947E-2</v>
      </c>
      <c r="N94" s="13">
        <f t="shared" si="15"/>
        <v>19.106262658755192</v>
      </c>
      <c r="O94" s="32">
        <f t="shared" si="1"/>
        <v>3.4401735629700947</v>
      </c>
      <c r="P94" s="13">
        <f t="shared" si="16"/>
        <v>6.3555144218273298</v>
      </c>
      <c r="Q94" s="13">
        <f>IF(AND(AND(AND(t-MOD(t,T_1)&gt;0,t &gt;t-MOD(t,T_1)),  AND(t-MOD(t,T_1)&gt;0,t &lt;=t-MOD(t,T_1)+T_1)), ω2dec &gt;= ω3),  ω2dec,  ω3  )</f>
        <v>6.3555144218273298</v>
      </c>
      <c r="R94" s="13">
        <f>IF(   AND(   MOD(t,T_1)&gt;=3*T_1/4,   MOD(t,T_1)&lt;=T_1 ),  ϒ/R_3, 0)</f>
        <v>1910.626265875519</v>
      </c>
      <c r="S94" s="59">
        <f t="shared" si="17"/>
        <v>0.24014327310743575</v>
      </c>
      <c r="T94" s="60">
        <f t="shared" si="18"/>
        <v>24.014327310743575</v>
      </c>
      <c r="U94" s="64">
        <f t="shared" si="19"/>
        <v>25.542828323443992</v>
      </c>
      <c r="V94"/>
      <c r="W94"/>
      <c r="X94"/>
      <c r="Y94"/>
      <c r="Z94"/>
      <c r="AA94"/>
      <c r="AB94"/>
      <c r="AC94"/>
      <c r="AD94"/>
      <c r="AE94"/>
    </row>
    <row r="95" spans="9:31" x14ac:dyDescent="0.25">
      <c r="I95" s="47"/>
      <c r="J95" s="46"/>
      <c r="K95" s="30">
        <f t="shared" si="20"/>
        <v>0.12857142857142836</v>
      </c>
      <c r="L95" s="31">
        <f t="shared" si="0"/>
        <v>-2.3776412907378979E-3</v>
      </c>
      <c r="M95" s="32">
        <f t="shared" si="6"/>
        <v>6.7956386355387532E-2</v>
      </c>
      <c r="N95" s="13">
        <f t="shared" si="15"/>
        <v>18.397641094666376</v>
      </c>
      <c r="O95" s="32">
        <f t="shared" si="1"/>
        <v>6.7956386355387535</v>
      </c>
      <c r="P95" s="13">
        <f t="shared" si="16"/>
        <v>5.8433268254064732</v>
      </c>
      <c r="Q95" s="13">
        <f>IF(AND(AND(AND(t-MOD(t,T_1)&gt;0,t &gt;t-MOD(t,T_1)),  AND(t-MOD(t,T_1)&gt;0,t &lt;=t-MOD(t,T_1)+T_1)), ω2dec &gt;= ω3),  ω2dec,  ω3  )</f>
        <v>6.7956386355387535</v>
      </c>
      <c r="R95" s="13">
        <f>IF(   AND(   MOD(t,T_1)&gt;=3*T_1/4,   MOD(t,T_1)&lt;=T_1 ),  ϒ/R_3, 0)</f>
        <v>1839.7641094666376</v>
      </c>
      <c r="S95" s="59">
        <f t="shared" si="17"/>
        <v>0.23185240080759661</v>
      </c>
      <c r="T95" s="60">
        <f t="shared" si="18"/>
        <v>23.185240080759662</v>
      </c>
      <c r="U95" s="64">
        <f t="shared" si="19"/>
        <v>24.657051368332972</v>
      </c>
      <c r="V95"/>
      <c r="W95"/>
      <c r="X95"/>
      <c r="Y95"/>
      <c r="Z95"/>
      <c r="AA95"/>
      <c r="AB95"/>
      <c r="AC95"/>
      <c r="AD95"/>
      <c r="AE95"/>
    </row>
    <row r="96" spans="9:31" x14ac:dyDescent="0.25">
      <c r="I96" s="47"/>
      <c r="J96" s="46"/>
      <c r="K96" s="30">
        <f t="shared" si="20"/>
        <v>0.13035714285714264</v>
      </c>
      <c r="L96" s="31">
        <f t="shared" si="0"/>
        <v>-2.2275163104709416E-3</v>
      </c>
      <c r="M96" s="32">
        <f t="shared" si="6"/>
        <v>9.9837725314688597E-2</v>
      </c>
      <c r="N96" s="13">
        <f t="shared" si="15"/>
        <v>17.236008548556711</v>
      </c>
      <c r="O96" s="32">
        <f t="shared" si="1"/>
        <v>9.9837725314688601</v>
      </c>
      <c r="P96" s="13">
        <f t="shared" si="16"/>
        <v>5.3311392289856201</v>
      </c>
      <c r="Q96" s="13">
        <f>IF(AND(AND(AND(t-MOD(t,T_1)&gt;0,t &gt;t-MOD(t,T_1)),  AND(t-MOD(t,T_1)&gt;0,t &lt;=t-MOD(t,T_1)+T_1)), ω2dec &gt;= ω3),  ω2dec,  ω3  )</f>
        <v>9.9837725314688601</v>
      </c>
      <c r="R96" s="13">
        <f>IF(   AND(   MOD(t,T_1)&gt;=3*T_1/4,   MOD(t,T_1)&lt;=T_1 ),  ϒ/R_3, 0)</f>
        <v>1723.6008548556711</v>
      </c>
      <c r="S96" s="59">
        <f t="shared" si="17"/>
        <v>0.21826130001811353</v>
      </c>
      <c r="T96" s="60">
        <f t="shared" si="18"/>
        <v>21.826130001811354</v>
      </c>
      <c r="U96" s="64">
        <f t="shared" si="19"/>
        <v>23.205010685695889</v>
      </c>
      <c r="V96"/>
      <c r="W96"/>
      <c r="X96"/>
      <c r="Y96"/>
      <c r="Z96"/>
      <c r="AA96"/>
      <c r="AB96"/>
      <c r="AC96"/>
      <c r="AD96"/>
      <c r="AE96"/>
    </row>
    <row r="97" spans="9:31" x14ac:dyDescent="0.25">
      <c r="I97" s="47"/>
      <c r="J97" s="46"/>
      <c r="K97" s="30">
        <f t="shared" si="20"/>
        <v>0.13214285714285692</v>
      </c>
      <c r="L97" s="31">
        <f t="shared" si="0"/>
        <v>-2.022542485937398E-3</v>
      </c>
      <c r="M97" s="32">
        <f t="shared" si="6"/>
        <v>0.1292607281343284</v>
      </c>
      <c r="N97" s="13">
        <f t="shared" si="15"/>
        <v>15.649968268948799</v>
      </c>
      <c r="O97" s="32">
        <f t="shared" si="1"/>
        <v>12.926072813432841</v>
      </c>
      <c r="P97" s="13">
        <f t="shared" si="16"/>
        <v>4.8189516325647652</v>
      </c>
      <c r="Q97" s="13">
        <f>IF(AND(AND(AND(t-MOD(t,T_1)&gt;0,t &gt;t-MOD(t,T_1)),  AND(t-MOD(t,T_1)&gt;0,t &lt;=t-MOD(t,T_1)+T_1)), ω2dec &gt;= ω3),  ω2dec,  ω3  )</f>
        <v>12.926072813432841</v>
      </c>
      <c r="R97" s="13">
        <f>IF(   AND(   MOD(t,T_1)&gt;=3*T_1/4,   MOD(t,T_1)&lt;=T_1 ),  ϒ/R_3, 0)</f>
        <v>1564.9968268948799</v>
      </c>
      <c r="S97" s="59">
        <f t="shared" si="17"/>
        <v>0.19970462874670097</v>
      </c>
      <c r="T97" s="60">
        <f t="shared" si="18"/>
        <v>19.970462874670098</v>
      </c>
      <c r="U97" s="64">
        <f t="shared" si="19"/>
        <v>21.222460336186003</v>
      </c>
      <c r="V97"/>
      <c r="W97"/>
      <c r="X97"/>
      <c r="Y97"/>
      <c r="Z97"/>
      <c r="AA97"/>
      <c r="AB97"/>
      <c r="AC97"/>
      <c r="AD97"/>
      <c r="AE97"/>
    </row>
    <row r="98" spans="9:31" x14ac:dyDescent="0.25">
      <c r="I98" s="47"/>
      <c r="J98" s="46"/>
      <c r="K98" s="30">
        <f t="shared" si="20"/>
        <v>0.1339285714285712</v>
      </c>
      <c r="L98" s="31">
        <f t="shared" si="0"/>
        <v>-1.7677669529664059E-3</v>
      </c>
      <c r="M98" s="32">
        <f t="shared" si="6"/>
        <v>0.15550090283553958</v>
      </c>
      <c r="N98" s="13">
        <f t="shared" si="15"/>
        <v>13.678573831292491</v>
      </c>
      <c r="O98" s="32">
        <f t="shared" si="1"/>
        <v>15.550090283553958</v>
      </c>
      <c r="P98" s="13">
        <f t="shared" si="16"/>
        <v>4.3067640361439032</v>
      </c>
      <c r="Q98" s="13">
        <f>IF(AND(AND(AND(t-MOD(t,T_1)&gt;0,t &gt;t-MOD(t,T_1)),  AND(t-MOD(t,T_1)&gt;0,t &lt;=t-MOD(t,T_1)+T_1)), ω2dec &gt;= ω3),  ω2dec,  ω3  )</f>
        <v>15.550090283553958</v>
      </c>
      <c r="R98" s="13">
        <f>IF(   AND(   MOD(t,T_1)&gt;=3*T_1/4,   MOD(t,T_1)&lt;=T_1 ),  ϒ/R_3, 0)</f>
        <v>1367.857383129249</v>
      </c>
      <c r="S98" s="59">
        <f t="shared" si="17"/>
        <v>0.17663931382612216</v>
      </c>
      <c r="T98" s="60">
        <f t="shared" si="18"/>
        <v>17.663931382612216</v>
      </c>
      <c r="U98" s="64">
        <f t="shared" si="19"/>
        <v>18.758217289115613</v>
      </c>
      <c r="V98"/>
      <c r="W98"/>
      <c r="X98"/>
      <c r="Y98"/>
      <c r="Z98"/>
      <c r="AA98"/>
      <c r="AB98"/>
      <c r="AC98"/>
      <c r="AD98"/>
      <c r="AE98"/>
    </row>
    <row r="99" spans="9:31" x14ac:dyDescent="0.25">
      <c r="I99" s="47"/>
      <c r="J99" s="46"/>
      <c r="K99" s="30">
        <f t="shared" si="20"/>
        <v>0.13571428571428548</v>
      </c>
      <c r="L99" s="31">
        <f t="shared" si="0"/>
        <v>-1.4694631307312269E-3</v>
      </c>
      <c r="M99" s="32">
        <f t="shared" si="6"/>
        <v>0.17791212923103125</v>
      </c>
      <c r="N99" s="13">
        <f t="shared" si="15"/>
        <v>11.370367509325916</v>
      </c>
      <c r="O99" s="32">
        <f t="shared" si="1"/>
        <v>17.791212923103124</v>
      </c>
      <c r="P99" s="13">
        <f t="shared" si="16"/>
        <v>3.7945764397230484</v>
      </c>
      <c r="Q99" s="13">
        <f>IF(AND(AND(AND(t-MOD(t,T_1)&gt;0,t &gt;t-MOD(t,T_1)),  AND(t-MOD(t,T_1)&gt;0,t &lt;=t-MOD(t,T_1)+T_1)), ω2dec &gt;= ω3),  ω2dec,  ω3  )</f>
        <v>17.791212923103124</v>
      </c>
      <c r="R99" s="13">
        <f>IF(   AND(   MOD(t,T_1)&gt;=3*T_1/4,   MOD(t,T_1)&lt;=T_1 ),  ϒ/R_3, 0)</f>
        <v>1137.0367509325915</v>
      </c>
      <c r="S99" s="59">
        <f t="shared" si="17"/>
        <v>0.14963329985911322</v>
      </c>
      <c r="T99" s="60">
        <f t="shared" si="18"/>
        <v>14.963329985911322</v>
      </c>
      <c r="U99" s="64">
        <f t="shared" si="19"/>
        <v>15.872959386657396</v>
      </c>
      <c r="V99"/>
      <c r="W99"/>
      <c r="X99"/>
      <c r="Y99"/>
      <c r="Z99"/>
      <c r="AA99"/>
      <c r="AB99"/>
      <c r="AC99"/>
      <c r="AD99"/>
      <c r="AE99"/>
    </row>
    <row r="100" spans="9:31" x14ac:dyDescent="0.25">
      <c r="I100" s="47"/>
      <c r="J100" s="46"/>
      <c r="K100" s="30">
        <f t="shared" si="20"/>
        <v>0.13749999999999976</v>
      </c>
      <c r="L100" s="31">
        <f t="shared" si="0"/>
        <v>-1.1349762493489135E-3</v>
      </c>
      <c r="M100" s="32">
        <f t="shared" si="6"/>
        <v>0.1959425685483506</v>
      </c>
      <c r="N100" s="13">
        <f t="shared" si="15"/>
        <v>8.7821850031934492</v>
      </c>
      <c r="O100" s="32">
        <f t="shared" si="1"/>
        <v>19.594256854835059</v>
      </c>
      <c r="P100" s="13">
        <f t="shared" si="16"/>
        <v>3.2823888433021935</v>
      </c>
      <c r="Q100" s="13">
        <f>IF(AND(AND(AND(t-MOD(t,T_1)&gt;0,t &gt;t-MOD(t,T_1)),  AND(t-MOD(t,T_1)&gt;0,t &lt;=t-MOD(t,T_1)+T_1)), ω2dec &gt;= ω3),  ω2dec,  ω3  )</f>
        <v>19.594256854835059</v>
      </c>
      <c r="R100" s="13">
        <f>IF(   AND(   MOD(t,T_1)&gt;=3*T_1/4,   MOD(t,T_1)&lt;=T_1 ),  ϒ/R_3, 0)</f>
        <v>878.21850031934491</v>
      </c>
      <c r="S100" s="59">
        <f t="shared" si="17"/>
        <v>0.11935156453736337</v>
      </c>
      <c r="T100" s="60">
        <f t="shared" si="18"/>
        <v>11.935156453736337</v>
      </c>
      <c r="U100" s="64">
        <f t="shared" si="19"/>
        <v>12.637731253991813</v>
      </c>
      <c r="V100"/>
      <c r="W100"/>
      <c r="X100"/>
      <c r="Y100"/>
      <c r="Z100"/>
      <c r="AA100"/>
      <c r="AB100"/>
      <c r="AC100"/>
      <c r="AD100"/>
      <c r="AE100"/>
    </row>
    <row r="101" spans="9:31" x14ac:dyDescent="0.25">
      <c r="I101" s="47"/>
      <c r="J101" s="46"/>
      <c r="K101" s="30">
        <f t="shared" si="20"/>
        <v>0.13928571428571404</v>
      </c>
      <c r="L101" s="31">
        <f t="shared" si="0"/>
        <v>-7.7254248593742038E-4</v>
      </c>
      <c r="M101" s="32">
        <f t="shared" si="6"/>
        <v>0.20914825153190744</v>
      </c>
      <c r="N101" s="13">
        <f t="shared" si="15"/>
        <v>5.9777559558813991</v>
      </c>
      <c r="O101" s="32">
        <f t="shared" si="1"/>
        <v>20.914825153190744</v>
      </c>
      <c r="P101" s="13">
        <f t="shared" si="16"/>
        <v>2.7702012468813386</v>
      </c>
      <c r="Q101" s="13">
        <f>IF(AND(AND(AND(t-MOD(t,T_1)&gt;0,t &gt;t-MOD(t,T_1)),  AND(t-MOD(t,T_1)&gt;0,t &lt;=t-MOD(t,T_1)+T_1)), ω2dec &gt;= ω3),  ω2dec,  ω3  )</f>
        <v>20.914825153190744</v>
      </c>
      <c r="R101" s="13">
        <f>IF(   AND(   MOD(t,T_1)&gt;=3*T_1/4,   MOD(t,T_1)&lt;=T_1 ),  ϒ/R_3, 0)</f>
        <v>597.77559558813994</v>
      </c>
      <c r="S101" s="59">
        <f t="shared" si="17"/>
        <v>8.6539744683812383E-2</v>
      </c>
      <c r="T101" s="60">
        <f t="shared" si="18"/>
        <v>8.6539744683812376</v>
      </c>
      <c r="U101" s="64">
        <f t="shared" si="19"/>
        <v>9.132194944851749</v>
      </c>
      <c r="V101"/>
      <c r="W101"/>
      <c r="X101"/>
      <c r="Y101"/>
      <c r="Z101"/>
      <c r="AA101"/>
      <c r="AB101"/>
      <c r="AC101"/>
      <c r="AD101"/>
      <c r="AE101"/>
    </row>
    <row r="102" spans="9:31" x14ac:dyDescent="0.25">
      <c r="I102" s="47"/>
      <c r="J102" s="46"/>
      <c r="K102" s="30">
        <f t="shared" si="20"/>
        <v>0.14107142857142832</v>
      </c>
      <c r="L102" s="31">
        <f t="shared" si="0"/>
        <v>-3.9108616260063317E-4</v>
      </c>
      <c r="M102" s="32">
        <f t="shared" si="6"/>
        <v>0.21720401043949769</v>
      </c>
      <c r="N102" s="13">
        <f t="shared" si="15"/>
        <v>3.0261347179009523</v>
      </c>
      <c r="O102" s="32">
        <f t="shared" si="1"/>
        <v>21.720401043949767</v>
      </c>
      <c r="P102" s="13">
        <f t="shared" si="16"/>
        <v>2.2580136504604837</v>
      </c>
      <c r="Q102" s="13">
        <f>IF(AND(AND(AND(t-MOD(t,T_1)&gt;0,t &gt;t-MOD(t,T_1)),  AND(t-MOD(t,T_1)&gt;0,t &lt;=t-MOD(t,T_1)+T_1)), ω2dec &gt;= ω3),  ω2dec,  ω3  )</f>
        <v>21.720401043949767</v>
      </c>
      <c r="R102" s="13">
        <f>IF(   AND(   MOD(t,T_1)&gt;=3*T_1/4,   MOD(t,T_1)&lt;=T_1 ),  ϒ/R_3, 0)</f>
        <v>302.61347179009522</v>
      </c>
      <c r="S102" s="59">
        <f t="shared" si="17"/>
        <v>5.2005776199441148E-2</v>
      </c>
      <c r="T102" s="60">
        <f t="shared" si="18"/>
        <v>5.2005776199441147</v>
      </c>
      <c r="U102" s="64">
        <f t="shared" si="19"/>
        <v>5.4426683973761909</v>
      </c>
      <c r="V102"/>
      <c r="W102"/>
      <c r="X102"/>
      <c r="Y102"/>
      <c r="Z102"/>
      <c r="AA102"/>
      <c r="AB102"/>
      <c r="AC102"/>
      <c r="AD102"/>
      <c r="AE102"/>
    </row>
    <row r="103" spans="9:31" x14ac:dyDescent="0.25">
      <c r="I103" s="47"/>
      <c r="J103" s="46" t="s">
        <v>56</v>
      </c>
      <c r="K103" s="30">
        <f t="shared" si="20"/>
        <v>0.1428571428571426</v>
      </c>
      <c r="L103" s="31">
        <f t="shared" si="0"/>
        <v>-5.8956745735416757E-17</v>
      </c>
      <c r="M103" s="32">
        <f t="shared" si="6"/>
        <v>0.21991148575128552</v>
      </c>
      <c r="N103" s="13">
        <f t="shared" si="15"/>
        <v>4.5619372963239362E-13</v>
      </c>
      <c r="O103" s="32">
        <f t="shared" si="1"/>
        <v>21.991148575128552</v>
      </c>
      <c r="P103" s="13">
        <f t="shared" si="16"/>
        <v>1.7458260540396253</v>
      </c>
      <c r="Q103" s="13">
        <f>IF(AND(AND(AND(t-MOD(t,T_1)&gt;0,t &gt;t-MOD(t,T_1)),  AND(t-MOD(t,T_1)&gt;0,t &lt;=t-MOD(t,T_1)+T_1)), ω2dec &gt;= ω3),  ω2dec,  ω3  )</f>
        <v>21.991148575128552</v>
      </c>
      <c r="R103" s="13">
        <f>IF(   AND(   MOD(t,T_1)&gt;=3*T_1/4,   MOD(t,T_1)&lt;=T_1 ),  ϒ/R_3, 0)</f>
        <v>4.5619372963239363E-11</v>
      </c>
      <c r="S103" s="59">
        <f t="shared" si="17"/>
        <v>1.6600000000005336E-2</v>
      </c>
      <c r="T103" s="60">
        <f t="shared" si="18"/>
        <v>1.6600000000005335</v>
      </c>
      <c r="U103" s="64">
        <f t="shared" si="19"/>
        <v>1.6600000000005699</v>
      </c>
      <c r="V103"/>
      <c r="W103"/>
      <c r="X103"/>
      <c r="Y103"/>
      <c r="Z103"/>
      <c r="AA103"/>
      <c r="AB103"/>
      <c r="AC103"/>
      <c r="AD103"/>
      <c r="AE103"/>
    </row>
    <row r="104" spans="9:31" x14ac:dyDescent="0.25">
      <c r="I104" s="47"/>
      <c r="J104" s="46"/>
      <c r="K104" s="27">
        <f t="shared" si="20"/>
        <v>0.14464285714285688</v>
      </c>
      <c r="L104" s="28">
        <f t="shared" si="0"/>
        <v>3.9108616260051673E-4</v>
      </c>
      <c r="M104" s="29">
        <f t="shared" si="6"/>
        <v>0.2172040104394993</v>
      </c>
      <c r="N104" s="15">
        <f t="shared" si="15"/>
        <v>-3.0261347179000517</v>
      </c>
      <c r="O104" s="29">
        <f t="shared" si="1"/>
        <v>21.720401043949931</v>
      </c>
      <c r="P104" s="15">
        <f>IF(ω3_tan-Cg*MOD((t-t_tan),T_1)/(J_1+Jg+Jv+J_2*K^2)&lt;0,  0,  ω3_tan-Cg*MOD((t-t_tan),T_1)/(J_1+Jg+Jv+J_2*K^2))</f>
        <v>21.721142314453083</v>
      </c>
      <c r="Q104" s="15">
        <f>IF(AND(AND(AND(t-MOD(t,T_1)&gt;0,t &gt;t-MOD(t,T_1)),  AND(t-MOD(t,T_1)&gt;0,t &lt;=t-MOD(t,T_1)+T_1)), ω2dec &gt;= ω3),  ω2dec,  ω3  )</f>
        <v>21.721142314453083</v>
      </c>
      <c r="R104" s="15">
        <f>IF(   AND(   MOD(t,T_1)&gt;=3*T_1/4,   MOD(t,T_1)&lt;=T_1 ),  ϒ/R_3, 0)</f>
        <v>0</v>
      </c>
      <c r="S104" s="70">
        <f t="shared" si="17"/>
        <v>0</v>
      </c>
      <c r="T104" s="71">
        <f t="shared" si="18"/>
        <v>0</v>
      </c>
      <c r="U104" s="72">
        <f t="shared" si="19"/>
        <v>-0.24209077743200413</v>
      </c>
      <c r="V104"/>
      <c r="W104"/>
      <c r="X104"/>
      <c r="Y104"/>
      <c r="Z104"/>
      <c r="AA104"/>
      <c r="AB104"/>
      <c r="AC104"/>
      <c r="AD104"/>
      <c r="AE104"/>
    </row>
    <row r="105" spans="9:31" x14ac:dyDescent="0.25">
      <c r="I105" s="47"/>
      <c r="J105" s="46"/>
      <c r="K105" s="27">
        <f t="shared" si="20"/>
        <v>0.14642857142857116</v>
      </c>
      <c r="L105" s="28">
        <f t="shared" si="0"/>
        <v>7.7254248593731239E-4</v>
      </c>
      <c r="M105" s="29">
        <f t="shared" si="6"/>
        <v>0.20914825153191052</v>
      </c>
      <c r="N105" s="15">
        <f t="shared" si="15"/>
        <v>-5.9777559558805642</v>
      </c>
      <c r="O105" s="29">
        <f t="shared" si="1"/>
        <v>20.914825153191053</v>
      </c>
      <c r="P105" s="15">
        <f t="shared" si="16"/>
        <v>21.208954718032224</v>
      </c>
      <c r="Q105" s="15">
        <f>IF(AND(AND(AND(t-MOD(t,T_1)&gt;0,t &gt;t-MOD(t,T_1)),  AND(t-MOD(t,T_1)&gt;0,t &lt;=t-MOD(t,T_1)+T_1)), ω2dec &gt;= ω3),  ω2dec,  ω3  )</f>
        <v>21.208954718032224</v>
      </c>
      <c r="R105" s="15">
        <f>IF(   AND(   MOD(t,T_1)&gt;=3*T_1/4,   MOD(t,T_1)&lt;=T_1 ),  ϒ/R_3, 0)</f>
        <v>0</v>
      </c>
      <c r="S105" s="70">
        <f t="shared" si="17"/>
        <v>0</v>
      </c>
      <c r="T105" s="71">
        <f t="shared" si="18"/>
        <v>0</v>
      </c>
      <c r="U105" s="72">
        <f t="shared" si="19"/>
        <v>-0.47822047647044513</v>
      </c>
      <c r="V105"/>
      <c r="W105"/>
      <c r="X105"/>
      <c r="Y105"/>
      <c r="Z105"/>
      <c r="AA105"/>
      <c r="AB105"/>
      <c r="AC105"/>
      <c r="AD105"/>
      <c r="AE105"/>
    </row>
    <row r="106" spans="9:31" x14ac:dyDescent="0.25">
      <c r="I106" s="47"/>
      <c r="J106" s="46"/>
      <c r="K106" s="27">
        <f t="shared" si="20"/>
        <v>0.14821428571428544</v>
      </c>
      <c r="L106" s="28">
        <f t="shared" si="0"/>
        <v>1.1349762493488124E-3</v>
      </c>
      <c r="M106" s="29">
        <f t="shared" si="6"/>
        <v>0.19594256854835515</v>
      </c>
      <c r="N106" s="15">
        <f t="shared" si="15"/>
        <v>-8.7821850031926676</v>
      </c>
      <c r="O106" s="29">
        <f t="shared" si="1"/>
        <v>19.594256854835514</v>
      </c>
      <c r="P106" s="15">
        <f t="shared" si="16"/>
        <v>20.696767121611369</v>
      </c>
      <c r="Q106" s="15">
        <f>IF(AND(AND(AND(t-MOD(t,T_1)&gt;0,t &gt;t-MOD(t,T_1)),  AND(t-MOD(t,T_1)&gt;0,t &lt;=t-MOD(t,T_1)+T_1)), ω2dec &gt;= ω3),  ω2dec,  ω3  )</f>
        <v>20.696767121611369</v>
      </c>
      <c r="R106" s="15">
        <f>IF(   AND(   MOD(t,T_1)&gt;=3*T_1/4,   MOD(t,T_1)&lt;=T_1 ),  ϒ/R_3, 0)</f>
        <v>0</v>
      </c>
      <c r="S106" s="70">
        <f t="shared" si="17"/>
        <v>0</v>
      </c>
      <c r="T106" s="71">
        <f t="shared" si="18"/>
        <v>0</v>
      </c>
      <c r="U106" s="72">
        <f t="shared" si="19"/>
        <v>-0.70257480025541341</v>
      </c>
      <c r="V106"/>
      <c r="W106"/>
      <c r="X106"/>
      <c r="Y106"/>
      <c r="Z106"/>
      <c r="AA106"/>
      <c r="AB106"/>
      <c r="AC106"/>
      <c r="AD106"/>
      <c r="AE106"/>
    </row>
    <row r="107" spans="9:31" x14ac:dyDescent="0.25">
      <c r="I107" s="47"/>
      <c r="J107" s="46"/>
      <c r="K107" s="27">
        <f t="shared" si="20"/>
        <v>0.14999999999999972</v>
      </c>
      <c r="L107" s="28">
        <f t="shared" si="0"/>
        <v>1.4694631307311315E-3</v>
      </c>
      <c r="M107" s="29">
        <f t="shared" si="6"/>
        <v>0.17791212923103736</v>
      </c>
      <c r="N107" s="15">
        <f t="shared" si="15"/>
        <v>-11.370367509325179</v>
      </c>
      <c r="O107" s="29">
        <f t="shared" si="1"/>
        <v>17.791212923103735</v>
      </c>
      <c r="P107" s="15">
        <f t="shared" si="16"/>
        <v>20.184579525190514</v>
      </c>
      <c r="Q107" s="15">
        <f>IF(AND(AND(AND(t-MOD(t,T_1)&gt;0,t &gt;t-MOD(t,T_1)),  AND(t-MOD(t,T_1)&gt;0,t &lt;=t-MOD(t,T_1)+T_1)), ω2dec &gt;= ω3),  ω2dec,  ω3  )</f>
        <v>20.184579525190514</v>
      </c>
      <c r="R107" s="15">
        <f>IF(   AND(   MOD(t,T_1)&gt;=3*T_1/4,   MOD(t,T_1)&lt;=T_1 ),  ϒ/R_3, 0)</f>
        <v>0</v>
      </c>
      <c r="S107" s="70">
        <f t="shared" si="17"/>
        <v>0</v>
      </c>
      <c r="T107" s="71">
        <f t="shared" si="18"/>
        <v>0</v>
      </c>
      <c r="U107" s="72">
        <f t="shared" si="19"/>
        <v>-0.90962940074601439</v>
      </c>
      <c r="V107"/>
      <c r="W107"/>
      <c r="X107"/>
      <c r="Y107"/>
      <c r="Z107"/>
      <c r="AA107"/>
      <c r="AB107"/>
      <c r="AC107"/>
      <c r="AD107"/>
      <c r="AE107"/>
    </row>
    <row r="108" spans="9:31" x14ac:dyDescent="0.25">
      <c r="I108" s="47"/>
      <c r="J108" s="46"/>
      <c r="K108" s="27">
        <f t="shared" si="20"/>
        <v>0.151785714285714</v>
      </c>
      <c r="L108" s="28">
        <f t="shared" si="0"/>
        <v>1.7677669529663224E-3</v>
      </c>
      <c r="M108" s="29">
        <f t="shared" si="6"/>
        <v>0.15550090283554691</v>
      </c>
      <c r="N108" s="15">
        <f t="shared" si="15"/>
        <v>-13.678573831291844</v>
      </c>
      <c r="O108" s="29">
        <f t="shared" si="1"/>
        <v>15.55009028355469</v>
      </c>
      <c r="P108" s="15">
        <f t="shared" si="16"/>
        <v>19.672391928769656</v>
      </c>
      <c r="Q108" s="15">
        <f>IF(AND(AND(AND(t-MOD(t,T_1)&gt;0,t &gt;t-MOD(t,T_1)),  AND(t-MOD(t,T_1)&gt;0,t &lt;=t-MOD(t,T_1)+T_1)), ω2dec &gt;= ω3),  ω2dec,  ω3  )</f>
        <v>19.672391928769656</v>
      </c>
      <c r="R108" s="15">
        <f>IF(   AND(   MOD(t,T_1)&gt;=3*T_1/4,   MOD(t,T_1)&lt;=T_1 ),  ϒ/R_3, 0)</f>
        <v>0</v>
      </c>
      <c r="S108" s="70">
        <f t="shared" si="17"/>
        <v>0</v>
      </c>
      <c r="T108" s="71">
        <f t="shared" si="18"/>
        <v>0</v>
      </c>
      <c r="U108" s="72">
        <f t="shared" si="19"/>
        <v>-1.0942859065033477</v>
      </c>
      <c r="V108"/>
      <c r="W108"/>
      <c r="X108"/>
      <c r="Y108"/>
      <c r="Z108"/>
      <c r="AA108"/>
      <c r="AB108"/>
      <c r="AC108"/>
      <c r="AD108"/>
      <c r="AE108"/>
    </row>
    <row r="109" spans="9:31" x14ac:dyDescent="0.25">
      <c r="I109" s="47"/>
      <c r="J109" s="46"/>
      <c r="K109" s="27">
        <f t="shared" si="20"/>
        <v>0.15357142857142828</v>
      </c>
      <c r="L109" s="28">
        <f t="shared" si="0"/>
        <v>2.0225424859373286E-3</v>
      </c>
      <c r="M109" s="29">
        <f t="shared" si="6"/>
        <v>0.12926072813433681</v>
      </c>
      <c r="N109" s="15">
        <f t="shared" si="15"/>
        <v>-15.64996826894826</v>
      </c>
      <c r="O109" s="29">
        <f t="shared" si="1"/>
        <v>12.926072813433681</v>
      </c>
      <c r="P109" s="15">
        <f t="shared" si="16"/>
        <v>19.160204332348801</v>
      </c>
      <c r="Q109" s="15">
        <f>IF(AND(AND(AND(t-MOD(t,T_1)&gt;0,t &gt;t-MOD(t,T_1)),  AND(t-MOD(t,T_1)&gt;0,t &lt;=t-MOD(t,T_1)+T_1)), ω2dec &gt;= ω3),  ω2dec,  ω3  )</f>
        <v>19.160204332348801</v>
      </c>
      <c r="R109" s="15">
        <f>IF(   AND(   MOD(t,T_1)&gt;=3*T_1/4,   MOD(t,T_1)&lt;=T_1 ),  ϒ/R_3, 0)</f>
        <v>0</v>
      </c>
      <c r="S109" s="70">
        <f t="shared" si="17"/>
        <v>0</v>
      </c>
      <c r="T109" s="71">
        <f t="shared" si="18"/>
        <v>0</v>
      </c>
      <c r="U109" s="72">
        <f t="shared" si="19"/>
        <v>-1.2519974615158609</v>
      </c>
      <c r="V109"/>
      <c r="W109"/>
      <c r="X109"/>
      <c r="Y109"/>
      <c r="Z109"/>
      <c r="AA109"/>
      <c r="AB109"/>
      <c r="AC109"/>
      <c r="AD109"/>
      <c r="AE109"/>
    </row>
    <row r="110" spans="9:31" x14ac:dyDescent="0.25">
      <c r="I110" s="47"/>
      <c r="J110" s="46"/>
      <c r="K110" s="27">
        <f t="shared" si="20"/>
        <v>0.15535714285714256</v>
      </c>
      <c r="L110" s="28">
        <f t="shared" si="0"/>
        <v>2.22751631047089E-3</v>
      </c>
      <c r="M110" s="29">
        <f t="shared" si="6"/>
        <v>9.9837725314697492E-2</v>
      </c>
      <c r="N110" s="15">
        <f t="shared" si="15"/>
        <v>-17.23600854855631</v>
      </c>
      <c r="O110" s="29">
        <f t="shared" si="1"/>
        <v>9.9837725314697483</v>
      </c>
      <c r="P110" s="15">
        <f t="shared" si="16"/>
        <v>18.648016735927946</v>
      </c>
      <c r="Q110" s="15">
        <f>IF(AND(AND(AND(t-MOD(t,T_1)&gt;0,t &gt;t-MOD(t,T_1)),  AND(t-MOD(t,T_1)&gt;0,t &lt;=t-MOD(t,T_1)+T_1)), ω2dec &gt;= ω3),  ω2dec,  ω3  )</f>
        <v>18.648016735927946</v>
      </c>
      <c r="R110" s="15">
        <f>IF(   AND(   MOD(t,T_1)&gt;=3*T_1/4,   MOD(t,T_1)&lt;=T_1 ),  ϒ/R_3, 0)</f>
        <v>0</v>
      </c>
      <c r="S110" s="70">
        <f t="shared" si="17"/>
        <v>0</v>
      </c>
      <c r="T110" s="71">
        <f t="shared" si="18"/>
        <v>0</v>
      </c>
      <c r="U110" s="72">
        <f t="shared" si="19"/>
        <v>-1.3788806838845049</v>
      </c>
      <c r="V110"/>
      <c r="W110"/>
      <c r="X110"/>
      <c r="Y110"/>
      <c r="Z110"/>
      <c r="AA110"/>
      <c r="AB110"/>
      <c r="AC110"/>
      <c r="AD110"/>
      <c r="AE110"/>
    </row>
    <row r="111" spans="9:31" x14ac:dyDescent="0.25">
      <c r="I111" s="47"/>
      <c r="J111" s="46"/>
      <c r="K111" s="27">
        <f t="shared" si="20"/>
        <v>0.15714285714285683</v>
      </c>
      <c r="L111" s="28">
        <f t="shared" si="0"/>
        <v>2.3776412907378633E-3</v>
      </c>
      <c r="M111" s="29">
        <f t="shared" si="6"/>
        <v>6.7956386355397011E-2</v>
      </c>
      <c r="N111" s="15">
        <f t="shared" si="15"/>
        <v>-18.397641094666106</v>
      </c>
      <c r="O111" s="29">
        <f t="shared" si="1"/>
        <v>6.7956386355397012</v>
      </c>
      <c r="P111" s="15">
        <f t="shared" si="16"/>
        <v>18.135829139507088</v>
      </c>
      <c r="Q111" s="15">
        <f>IF(AND(AND(AND(t-MOD(t,T_1)&gt;0,t &gt;t-MOD(t,T_1)),  AND(t-MOD(t,T_1)&gt;0,t &lt;=t-MOD(t,T_1)+T_1)), ω2dec &gt;= ω3),  ω2dec,  ω3  )</f>
        <v>18.135829139507088</v>
      </c>
      <c r="R111" s="15">
        <f>IF(   AND(   MOD(t,T_1)&gt;=3*T_1/4,   MOD(t,T_1)&lt;=T_1 ),  ϒ/R_3, 0)</f>
        <v>0</v>
      </c>
      <c r="S111" s="70">
        <f t="shared" si="17"/>
        <v>0</v>
      </c>
      <c r="T111" s="71">
        <f t="shared" si="18"/>
        <v>0</v>
      </c>
      <c r="U111" s="72">
        <f t="shared" si="19"/>
        <v>-1.4718112875732885</v>
      </c>
      <c r="V111"/>
      <c r="W111"/>
      <c r="X111"/>
      <c r="Y111"/>
      <c r="Z111"/>
      <c r="AA111"/>
      <c r="AB111"/>
      <c r="AC111"/>
      <c r="AD111"/>
      <c r="AE111"/>
    </row>
    <row r="112" spans="9:31" x14ac:dyDescent="0.25">
      <c r="I112" s="47"/>
      <c r="J112" s="46"/>
      <c r="K112" s="27">
        <f t="shared" si="20"/>
        <v>0.15892857142857111</v>
      </c>
      <c r="L112" s="28">
        <f t="shared" si="0"/>
        <v>2.4692208514878332E-3</v>
      </c>
      <c r="M112" s="29">
        <f t="shared" si="6"/>
        <v>3.44017356297108E-2</v>
      </c>
      <c r="N112" s="15">
        <f t="shared" si="15"/>
        <v>-19.106262658755053</v>
      </c>
      <c r="O112" s="29">
        <f t="shared" si="1"/>
        <v>3.4401735629710801</v>
      </c>
      <c r="P112" s="15">
        <f t="shared" si="16"/>
        <v>17.623641543086233</v>
      </c>
      <c r="Q112" s="15">
        <f>IF(AND(AND(AND(t-MOD(t,T_1)&gt;0,t &gt;t-MOD(t,T_1)),  AND(t-MOD(t,T_1)&gt;0,t &lt;=t-MOD(t,T_1)+T_1)), ω2dec &gt;= ω3),  ω2dec,  ω3  )</f>
        <v>17.623641543086233</v>
      </c>
      <c r="R112" s="15">
        <f>IF(   AND(   MOD(t,T_1)&gt;=3*T_1/4,   MOD(t,T_1)&lt;=T_1 ),  ϒ/R_3, 0)</f>
        <v>0</v>
      </c>
      <c r="S112" s="70">
        <f t="shared" si="17"/>
        <v>0</v>
      </c>
      <c r="T112" s="71">
        <f t="shared" si="18"/>
        <v>0</v>
      </c>
      <c r="U112" s="72">
        <f t="shared" si="19"/>
        <v>-1.5285010127004044</v>
      </c>
      <c r="V112"/>
      <c r="W112"/>
      <c r="X112"/>
      <c r="Y112"/>
      <c r="Z112"/>
      <c r="AA112"/>
      <c r="AB112"/>
      <c r="AC112"/>
      <c r="AD112"/>
      <c r="AE112"/>
    </row>
    <row r="113" spans="9:31" x14ac:dyDescent="0.25">
      <c r="I113" s="47"/>
      <c r="J113" s="46" t="s">
        <v>61</v>
      </c>
      <c r="K113" s="27">
        <f t="shared" si="20"/>
        <v>0.16071428571428539</v>
      </c>
      <c r="L113" s="28">
        <f t="shared" si="0"/>
        <v>2.5000000000000001E-3</v>
      </c>
      <c r="M113" s="29">
        <f t="shared" si="6"/>
        <v>6.3715012460746495E-15</v>
      </c>
      <c r="N113" s="15">
        <f t="shared" si="15"/>
        <v>-19.344424626135144</v>
      </c>
      <c r="O113" s="29">
        <f t="shared" si="1"/>
        <v>6.3715012460746497E-13</v>
      </c>
      <c r="P113" s="15">
        <f t="shared" si="16"/>
        <v>17.111453946665378</v>
      </c>
      <c r="Q113" s="15">
        <f>IF(AND(AND(AND(t-MOD(t,T_1)&gt;0,t &gt;t-MOD(t,T_1)),  AND(t-MOD(t,T_1)&gt;0,t &lt;=t-MOD(t,T_1)+T_1)), ω2dec &gt;= ω3),  ω2dec,  ω3  )</f>
        <v>17.111453946665378</v>
      </c>
      <c r="R113" s="15">
        <f>IF(   AND(   MOD(t,T_1)&gt;=3*T_1/4,   MOD(t,T_1)&lt;=T_1 ),  ϒ/R_3, 0)</f>
        <v>0</v>
      </c>
      <c r="S113" s="70">
        <f t="shared" si="17"/>
        <v>0</v>
      </c>
      <c r="T113" s="71">
        <f t="shared" si="18"/>
        <v>0</v>
      </c>
      <c r="U113" s="72">
        <f t="shared" si="19"/>
        <v>-1.5475539700908116</v>
      </c>
      <c r="V113"/>
      <c r="W113"/>
      <c r="X113"/>
      <c r="Y113"/>
      <c r="Z113"/>
      <c r="AA113"/>
      <c r="AB113"/>
      <c r="AC113"/>
      <c r="AD113"/>
      <c r="AE113"/>
    </row>
    <row r="114" spans="9:31" x14ac:dyDescent="0.25">
      <c r="I114" s="47"/>
      <c r="J114" s="46"/>
      <c r="K114" s="27">
        <f t="shared" si="20"/>
        <v>0.16249999999999967</v>
      </c>
      <c r="L114" s="28">
        <f t="shared" si="0"/>
        <v>2.4692208514878562E-3</v>
      </c>
      <c r="M114" s="29">
        <f t="shared" si="6"/>
        <v>-3.4401735629698213E-2</v>
      </c>
      <c r="N114" s="15">
        <f t="shared" si="15"/>
        <v>-19.106262658755227</v>
      </c>
      <c r="O114" s="29">
        <f t="shared" si="1"/>
        <v>-3.4401735629698211</v>
      </c>
      <c r="P114" s="15">
        <f t="shared" si="16"/>
        <v>16.59926635024452</v>
      </c>
      <c r="Q114" s="15">
        <f>IF(AND(AND(AND(t-MOD(t,T_1)&gt;0,t &gt;t-MOD(t,T_1)),  AND(t-MOD(t,T_1)&gt;0,t &lt;=t-MOD(t,T_1)+T_1)), ω2dec &gt;= ω3),  ω2dec,  ω3  )</f>
        <v>16.59926635024452</v>
      </c>
      <c r="R114" s="15">
        <f>IF(   AND(   MOD(t,T_1)&gt;=3*T_1/4,   MOD(t,T_1)&lt;=T_1 ),  ϒ/R_3, 0)</f>
        <v>0</v>
      </c>
      <c r="S114" s="70">
        <f t="shared" si="17"/>
        <v>0</v>
      </c>
      <c r="T114" s="71">
        <f t="shared" si="18"/>
        <v>0</v>
      </c>
      <c r="U114" s="72">
        <f t="shared" si="19"/>
        <v>-1.5285010127004182</v>
      </c>
      <c r="V114"/>
      <c r="W114"/>
      <c r="X114"/>
      <c r="Y114"/>
      <c r="Z114"/>
      <c r="AA114"/>
      <c r="AB114"/>
      <c r="AC114"/>
      <c r="AD114"/>
      <c r="AE114"/>
    </row>
    <row r="115" spans="9:31" x14ac:dyDescent="0.25">
      <c r="I115" s="47"/>
      <c r="J115" s="46"/>
      <c r="K115" s="27">
        <f t="shared" si="20"/>
        <v>0.16428571428571395</v>
      </c>
      <c r="L115" s="28">
        <f t="shared" si="0"/>
        <v>2.3776412907379079E-3</v>
      </c>
      <c r="M115" s="29">
        <f t="shared" si="6"/>
        <v>-6.7956386355384896E-2</v>
      </c>
      <c r="N115" s="15">
        <f t="shared" si="15"/>
        <v>-18.397641094666451</v>
      </c>
      <c r="O115" s="29">
        <f t="shared" si="1"/>
        <v>-6.7956386355384897</v>
      </c>
      <c r="P115" s="15">
        <f t="shared" si="16"/>
        <v>16.087078753823665</v>
      </c>
      <c r="Q115" s="15">
        <f>IF(AND(AND(AND(t-MOD(t,T_1)&gt;0,t &gt;t-MOD(t,T_1)),  AND(t-MOD(t,T_1)&gt;0,t &lt;=t-MOD(t,T_1)+T_1)), ω2dec &gt;= ω3),  ω2dec,  ω3  )</f>
        <v>16.087078753823665</v>
      </c>
      <c r="R115" s="15">
        <f>IF(   AND(   MOD(t,T_1)&gt;=3*T_1/4,   MOD(t,T_1)&lt;=T_1 ),  ϒ/R_3, 0)</f>
        <v>0</v>
      </c>
      <c r="S115" s="70">
        <f t="shared" si="17"/>
        <v>0</v>
      </c>
      <c r="T115" s="71">
        <f t="shared" si="18"/>
        <v>0</v>
      </c>
      <c r="U115" s="72">
        <f t="shared" si="19"/>
        <v>-1.471811287573316</v>
      </c>
      <c r="V115"/>
      <c r="W115"/>
      <c r="X115"/>
      <c r="Y115"/>
      <c r="Z115"/>
      <c r="AA115"/>
      <c r="AB115"/>
      <c r="AC115"/>
      <c r="AD115"/>
      <c r="AE115"/>
    </row>
    <row r="116" spans="9:31" x14ac:dyDescent="0.25">
      <c r="I116" s="47"/>
      <c r="J116" s="46"/>
      <c r="K116" s="27">
        <f t="shared" si="20"/>
        <v>0.16607142857142823</v>
      </c>
      <c r="L116" s="28">
        <f t="shared" si="0"/>
        <v>2.2275163104709538E-3</v>
      </c>
      <c r="M116" s="29">
        <f t="shared" si="6"/>
        <v>-9.9837725314686487E-2</v>
      </c>
      <c r="N116" s="15">
        <f t="shared" si="15"/>
        <v>-17.236008548556804</v>
      </c>
      <c r="O116" s="29">
        <f t="shared" si="1"/>
        <v>-9.9837725314686487</v>
      </c>
      <c r="P116" s="15">
        <f t="shared" si="16"/>
        <v>15.57489115740281</v>
      </c>
      <c r="Q116" s="15">
        <f>IF(AND(AND(AND(t-MOD(t,T_1)&gt;0,t &gt;t-MOD(t,T_1)),  AND(t-MOD(t,T_1)&gt;0,t &lt;=t-MOD(t,T_1)+T_1)), ω2dec &gt;= ω3),  ω2dec,  ω3  )</f>
        <v>15.57489115740281</v>
      </c>
      <c r="R116" s="15">
        <f>IF(   AND(   MOD(t,T_1)&gt;=3*T_1/4,   MOD(t,T_1)&lt;=T_1 ),  ϒ/R_3, 0)</f>
        <v>0</v>
      </c>
      <c r="S116" s="70">
        <f t="shared" si="17"/>
        <v>0</v>
      </c>
      <c r="T116" s="71">
        <f t="shared" si="18"/>
        <v>0</v>
      </c>
      <c r="U116" s="72">
        <f t="shared" si="19"/>
        <v>-1.3788806838845442</v>
      </c>
      <c r="V116"/>
      <c r="W116"/>
      <c r="X116"/>
      <c r="Y116"/>
      <c r="Z116"/>
      <c r="AA116"/>
      <c r="AB116"/>
      <c r="AC116"/>
      <c r="AD116"/>
      <c r="AE116"/>
    </row>
    <row r="117" spans="9:31" x14ac:dyDescent="0.25">
      <c r="I117" s="47"/>
      <c r="J117" s="46"/>
      <c r="K117" s="27">
        <f t="shared" si="20"/>
        <v>0.16785714285714251</v>
      </c>
      <c r="L117" s="28">
        <f t="shared" si="0"/>
        <v>2.022542485937414E-3</v>
      </c>
      <c r="M117" s="29">
        <f t="shared" si="6"/>
        <v>-0.12926072813432651</v>
      </c>
      <c r="N117" s="15">
        <f t="shared" si="15"/>
        <v>-15.649968268948921</v>
      </c>
      <c r="O117" s="29">
        <f t="shared" si="1"/>
        <v>-12.926072813432651</v>
      </c>
      <c r="P117" s="15">
        <f t="shared" si="16"/>
        <v>15.062703560981955</v>
      </c>
      <c r="Q117" s="15">
        <f>IF(AND(AND(AND(t-MOD(t,T_1)&gt;0,t &gt;t-MOD(t,T_1)),  AND(t-MOD(t,T_1)&gt;0,t &lt;=t-MOD(t,T_1)+T_1)), ω2dec &gt;= ω3),  ω2dec,  ω3  )</f>
        <v>15.062703560981955</v>
      </c>
      <c r="R117" s="15">
        <f>IF(   AND(   MOD(t,T_1)&gt;=3*T_1/4,   MOD(t,T_1)&lt;=T_1 ),  ϒ/R_3, 0)</f>
        <v>0</v>
      </c>
      <c r="S117" s="70">
        <f t="shared" si="17"/>
        <v>0</v>
      </c>
      <c r="T117" s="71">
        <f t="shared" si="18"/>
        <v>0</v>
      </c>
      <c r="U117" s="72">
        <f t="shared" si="19"/>
        <v>-1.2519974615159137</v>
      </c>
      <c r="V117"/>
      <c r="W117"/>
      <c r="X117"/>
      <c r="Y117"/>
      <c r="Z117"/>
      <c r="AA117"/>
      <c r="AB117"/>
      <c r="AC117"/>
      <c r="AD117"/>
      <c r="AE117"/>
    </row>
    <row r="118" spans="9:31" x14ac:dyDescent="0.25">
      <c r="I118" s="47"/>
      <c r="J118" s="46"/>
      <c r="K118" s="27">
        <f t="shared" si="20"/>
        <v>0.16964285714285679</v>
      </c>
      <c r="L118" s="28">
        <f t="shared" si="0"/>
        <v>1.7677669529664248E-3</v>
      </c>
      <c r="M118" s="29">
        <f t="shared" si="6"/>
        <v>-0.15550090283553789</v>
      </c>
      <c r="N118" s="15">
        <f t="shared" si="15"/>
        <v>-13.678573831292637</v>
      </c>
      <c r="O118" s="29">
        <f t="shared" si="1"/>
        <v>-15.550090283553788</v>
      </c>
      <c r="P118" s="15">
        <f t="shared" si="16"/>
        <v>14.550515964561097</v>
      </c>
      <c r="Q118" s="15">
        <f>IF(AND(AND(AND(t-MOD(t,T_1)&gt;0,t &gt;t-MOD(t,T_1)),  AND(t-MOD(t,T_1)&gt;0,t &lt;=t-MOD(t,T_1)+T_1)), ω2dec &gt;= ω3),  ω2dec,  ω3  )</f>
        <v>14.550515964561097</v>
      </c>
      <c r="R118" s="15">
        <f>IF(   AND(   MOD(t,T_1)&gt;=3*T_1/4,   MOD(t,T_1)&lt;=T_1 ),  ϒ/R_3, 0)</f>
        <v>0</v>
      </c>
      <c r="S118" s="70">
        <f t="shared" si="17"/>
        <v>0</v>
      </c>
      <c r="T118" s="71">
        <f t="shared" si="18"/>
        <v>0</v>
      </c>
      <c r="U118" s="72">
        <f t="shared" si="19"/>
        <v>-1.094285906503411</v>
      </c>
      <c r="V118"/>
      <c r="W118"/>
      <c r="X118"/>
      <c r="Y118"/>
      <c r="Z118"/>
      <c r="AA118"/>
      <c r="AB118"/>
      <c r="AC118"/>
      <c r="AD118"/>
      <c r="AE118"/>
    </row>
    <row r="119" spans="9:31" x14ac:dyDescent="0.25">
      <c r="I119" s="47"/>
      <c r="J119" s="46"/>
      <c r="K119" s="27">
        <f t="shared" si="20"/>
        <v>0.17142857142857107</v>
      </c>
      <c r="L119" s="28">
        <f t="shared" si="0"/>
        <v>1.4694631307312486E-3</v>
      </c>
      <c r="M119" s="29">
        <f t="shared" si="6"/>
        <v>-0.17791212923102986</v>
      </c>
      <c r="N119" s="15">
        <f t="shared" ref="N119:N149" si="21">-A*ω^2*SIN(ω*t)</f>
        <v>-11.370367509326085</v>
      </c>
      <c r="O119" s="29">
        <f t="shared" si="1"/>
        <v>-17.791212923102986</v>
      </c>
      <c r="P119" s="15">
        <f t="shared" ref="P119:P149" si="22">IF(ω3_tan-Cg*MOD((t-t_tan),T_1)/(J_1+Jg+Jv+J_2*K^2)&lt;0,  0,  ω3_tan-Cg*MOD((t-t_tan),T_1)/(J_1+Jg+Jv+J_2*K^2))</f>
        <v>14.038328368140242</v>
      </c>
      <c r="Q119" s="15">
        <f>IF(AND(AND(AND(t-MOD(t,T_1)&gt;0,t &gt;t-MOD(t,T_1)),  AND(t-MOD(t,T_1)&gt;0,t &lt;=t-MOD(t,T_1)+T_1)), ω2dec &gt;= ω3),  ω2dec,  ω3  )</f>
        <v>14.038328368140242</v>
      </c>
      <c r="R119" s="15">
        <f>IF(   AND(   MOD(t,T_1)&gt;=3*T_1/4,   MOD(t,T_1)&lt;=T_1 ),  ϒ/R_3, 0)</f>
        <v>0</v>
      </c>
      <c r="S119" s="70">
        <f t="shared" ref="S119:S149" si="23">IF(Accel2&lt;=0,0,Je*Accel2+Cg/K)</f>
        <v>0</v>
      </c>
      <c r="T119" s="71">
        <f t="shared" ref="T119:T149" si="24">C_2/R_3</f>
        <v>0</v>
      </c>
      <c r="U119" s="72">
        <f t="shared" ref="U119:U149" si="25">IF(Accel2&lt;=0,M*ϒ,M*ϒ+Fd)</f>
        <v>-0.90962940074608678</v>
      </c>
      <c r="V119"/>
      <c r="W119"/>
      <c r="X119"/>
      <c r="Y119"/>
      <c r="Z119"/>
      <c r="AA119"/>
      <c r="AB119"/>
      <c r="AC119"/>
      <c r="AD119"/>
      <c r="AE119"/>
    </row>
    <row r="120" spans="9:31" x14ac:dyDescent="0.25">
      <c r="I120" s="47"/>
      <c r="J120" s="46"/>
      <c r="K120" s="27">
        <f t="shared" ref="K120:K149" si="26">K119+T_1/40</f>
        <v>0.17321428571428535</v>
      </c>
      <c r="L120" s="28">
        <f t="shared" si="0"/>
        <v>1.1349762493489417E-3</v>
      </c>
      <c r="M120" s="29">
        <f t="shared" si="6"/>
        <v>-0.19594256854834935</v>
      </c>
      <c r="N120" s="15">
        <f t="shared" si="21"/>
        <v>-8.7821850031936659</v>
      </c>
      <c r="O120" s="29">
        <f t="shared" si="1"/>
        <v>-19.594256854834935</v>
      </c>
      <c r="P120" s="15">
        <f t="shared" si="22"/>
        <v>13.526140771719385</v>
      </c>
      <c r="Q120" s="15">
        <f>IF(AND(AND(AND(t-MOD(t,T_1)&gt;0,t &gt;t-MOD(t,T_1)),  AND(t-MOD(t,T_1)&gt;0,t &lt;=t-MOD(t,T_1)+T_1)), ω2dec &gt;= ω3),  ω2dec,  ω3  )</f>
        <v>13.526140771719385</v>
      </c>
      <c r="R120" s="15">
        <f>IF(   AND(   MOD(t,T_1)&gt;=3*T_1/4,   MOD(t,T_1)&lt;=T_1 ),  ϒ/R_3, 0)</f>
        <v>0</v>
      </c>
      <c r="S120" s="70">
        <f t="shared" si="23"/>
        <v>0</v>
      </c>
      <c r="T120" s="71">
        <f t="shared" si="24"/>
        <v>0</v>
      </c>
      <c r="U120" s="72">
        <f t="shared" si="25"/>
        <v>-0.70257480025549324</v>
      </c>
      <c r="V120"/>
      <c r="W120"/>
      <c r="X120"/>
      <c r="Y120"/>
      <c r="Z120"/>
      <c r="AA120"/>
      <c r="AB120"/>
      <c r="AC120"/>
      <c r="AD120"/>
      <c r="AE120"/>
    </row>
    <row r="121" spans="9:31" x14ac:dyDescent="0.25">
      <c r="I121" s="47"/>
      <c r="J121" s="46"/>
      <c r="K121" s="27">
        <f t="shared" si="26"/>
        <v>0.17499999999999963</v>
      </c>
      <c r="L121" s="28">
        <f t="shared" si="0"/>
        <v>7.7254248593744607E-4</v>
      </c>
      <c r="M121" s="29">
        <f t="shared" si="6"/>
        <v>-0.20914825153190672</v>
      </c>
      <c r="N121" s="15">
        <f t="shared" si="21"/>
        <v>-5.977755955881598</v>
      </c>
      <c r="O121" s="29">
        <f t="shared" si="1"/>
        <v>-20.914825153190673</v>
      </c>
      <c r="P121" s="15">
        <f t="shared" si="22"/>
        <v>13.01395317529853</v>
      </c>
      <c r="Q121" s="15">
        <f>IF(AND(AND(AND(t-MOD(t,T_1)&gt;0,t &gt;t-MOD(t,T_1)),  AND(t-MOD(t,T_1)&gt;0,t &lt;=t-MOD(t,T_1)+T_1)), ω2dec &gt;= ω3),  ω2dec,  ω3  )</f>
        <v>13.01395317529853</v>
      </c>
      <c r="R121" s="15">
        <f>IF(   AND(   MOD(t,T_1)&gt;=3*T_1/4,   MOD(t,T_1)&lt;=T_1 ),  ϒ/R_3, 0)</f>
        <v>0</v>
      </c>
      <c r="S121" s="70">
        <f t="shared" si="23"/>
        <v>0</v>
      </c>
      <c r="T121" s="71">
        <f t="shared" si="24"/>
        <v>0</v>
      </c>
      <c r="U121" s="72">
        <f t="shared" si="25"/>
        <v>-0.47822047647052784</v>
      </c>
      <c r="V121"/>
      <c r="W121"/>
      <c r="X121"/>
      <c r="Y121"/>
      <c r="Z121"/>
      <c r="AA121"/>
      <c r="AB121"/>
      <c r="AC121"/>
      <c r="AD121"/>
      <c r="AE121"/>
    </row>
    <row r="122" spans="9:31" x14ac:dyDescent="0.25">
      <c r="I122" s="47"/>
      <c r="J122" s="46"/>
      <c r="K122" s="27">
        <f t="shared" si="26"/>
        <v>0.17678571428571391</v>
      </c>
      <c r="L122" s="28">
        <f t="shared" si="0"/>
        <v>3.9108616260065984E-4</v>
      </c>
      <c r="M122" s="29">
        <f t="shared" si="6"/>
        <v>-0.2172040104394973</v>
      </c>
      <c r="N122" s="15">
        <f t="shared" si="21"/>
        <v>-3.0261347179011588</v>
      </c>
      <c r="O122" s="29">
        <f t="shared" si="1"/>
        <v>-21.720401043949728</v>
      </c>
      <c r="P122" s="15">
        <f t="shared" si="22"/>
        <v>12.501765578877674</v>
      </c>
      <c r="Q122" s="15">
        <f>IF(AND(AND(AND(t-MOD(t,T_1)&gt;0,t &gt;t-MOD(t,T_1)),  AND(t-MOD(t,T_1)&gt;0,t &lt;=t-MOD(t,T_1)+T_1)), ω2dec &gt;= ω3),  ω2dec,  ω3  )</f>
        <v>12.501765578877674</v>
      </c>
      <c r="R122" s="15">
        <f>IF(   AND(   MOD(t,T_1)&gt;=3*T_1/4,   MOD(t,T_1)&lt;=T_1 ),  ϒ/R_3, 0)</f>
        <v>0</v>
      </c>
      <c r="S122" s="70">
        <f t="shared" si="23"/>
        <v>0</v>
      </c>
      <c r="T122" s="71">
        <f t="shared" si="24"/>
        <v>0</v>
      </c>
      <c r="U122" s="72">
        <f t="shared" si="25"/>
        <v>-0.2420907774320927</v>
      </c>
      <c r="V122"/>
      <c r="W122"/>
      <c r="X122"/>
      <c r="Y122"/>
      <c r="Z122"/>
      <c r="AA122"/>
      <c r="AB122"/>
      <c r="AC122"/>
      <c r="AD122"/>
      <c r="AE122"/>
    </row>
    <row r="123" spans="9:31" x14ac:dyDescent="0.25">
      <c r="I123" s="49" t="s">
        <v>64</v>
      </c>
      <c r="J123" s="46" t="s">
        <v>62</v>
      </c>
      <c r="K123" s="27">
        <f t="shared" si="26"/>
        <v>0.17857142857142819</v>
      </c>
      <c r="L123" s="28">
        <f t="shared" si="0"/>
        <v>8.5908385440147673E-17</v>
      </c>
      <c r="M123" s="29">
        <f t="shared" si="6"/>
        <v>-0.21991148575128552</v>
      </c>
      <c r="N123" s="15">
        <f t="shared" si="21"/>
        <v>-6.6473931475996099E-13</v>
      </c>
      <c r="O123" s="29">
        <f t="shared" si="1"/>
        <v>-21.991148575128552</v>
      </c>
      <c r="P123" s="15">
        <f t="shared" si="22"/>
        <v>11.989577982456817</v>
      </c>
      <c r="Q123" s="15">
        <f>IF(AND(AND(AND(t-MOD(t,T_1)&gt;0,t &gt;t-MOD(t,T_1)),  AND(t-MOD(t,T_1)&gt;0,t &lt;=t-MOD(t,T_1)+T_1)), ω2dec &gt;= ω3),  ω2dec,  ω3  )</f>
        <v>11.989577982456817</v>
      </c>
      <c r="R123" s="15">
        <f>IF(   AND(   MOD(t,T_1)&gt;=3*T_1/4,   MOD(t,T_1)&lt;=T_1 ),  ϒ/R_3, 0)</f>
        <v>0</v>
      </c>
      <c r="S123" s="70">
        <f t="shared" si="23"/>
        <v>0</v>
      </c>
      <c r="T123" s="71">
        <f t="shared" si="24"/>
        <v>0</v>
      </c>
      <c r="U123" s="72">
        <f t="shared" si="25"/>
        <v>-5.3179145180796882E-14</v>
      </c>
      <c r="V123"/>
      <c r="W123"/>
      <c r="X123"/>
      <c r="Y123"/>
      <c r="Z123"/>
      <c r="AA123"/>
      <c r="AB123"/>
      <c r="AC123"/>
      <c r="AD123"/>
      <c r="AE123"/>
    </row>
    <row r="124" spans="9:31" x14ac:dyDescent="0.25">
      <c r="I124" s="47"/>
      <c r="J124" s="46"/>
      <c r="K124" s="27">
        <f t="shared" si="26"/>
        <v>0.18035714285714247</v>
      </c>
      <c r="L124" s="28">
        <f t="shared" si="0"/>
        <v>-3.9108616260049011E-4</v>
      </c>
      <c r="M124" s="29">
        <f t="shared" si="6"/>
        <v>-0.21720401043949969</v>
      </c>
      <c r="N124" s="15">
        <f t="shared" si="21"/>
        <v>3.0261347178998452</v>
      </c>
      <c r="O124" s="29">
        <f t="shared" si="1"/>
        <v>-21.72040104394997</v>
      </c>
      <c r="P124" s="15">
        <f t="shared" si="22"/>
        <v>11.477390386035962</v>
      </c>
      <c r="Q124" s="15">
        <f>IF(AND(AND(AND(t-MOD(t,T_1)&gt;0,t &gt;t-MOD(t,T_1)),  AND(t-MOD(t,T_1)&gt;0,t &lt;=t-MOD(t,T_1)+T_1)), ω2dec &gt;= ω3),  ω2dec,  ω3  )</f>
        <v>11.477390386035962</v>
      </c>
      <c r="R124" s="15">
        <f>IF(   AND(   MOD(t,T_1)&gt;=3*T_1/4,   MOD(t,T_1)&lt;=T_1 ),  ϒ/R_3, 0)</f>
        <v>0</v>
      </c>
      <c r="S124" s="70">
        <f t="shared" si="23"/>
        <v>0</v>
      </c>
      <c r="T124" s="71">
        <f t="shared" si="24"/>
        <v>0</v>
      </c>
      <c r="U124" s="72">
        <f t="shared" si="25"/>
        <v>0.24209077743198762</v>
      </c>
      <c r="V124"/>
      <c r="W124"/>
      <c r="X124"/>
      <c r="Y124"/>
      <c r="Z124"/>
      <c r="AA124"/>
      <c r="AB124"/>
      <c r="AC124"/>
      <c r="AD124"/>
      <c r="AE124"/>
    </row>
    <row r="125" spans="9:31" x14ac:dyDescent="0.25">
      <c r="I125" s="47"/>
      <c r="J125" s="46"/>
      <c r="K125" s="27">
        <f t="shared" si="26"/>
        <v>0.18214285714285675</v>
      </c>
      <c r="L125" s="28">
        <f t="shared" si="0"/>
        <v>-7.7254248593728691E-4</v>
      </c>
      <c r="M125" s="29">
        <f t="shared" si="6"/>
        <v>-0.20914825153191124</v>
      </c>
      <c r="N125" s="15">
        <f t="shared" si="21"/>
        <v>5.9777559558803661</v>
      </c>
      <c r="O125" s="29">
        <f t="shared" si="1"/>
        <v>-20.914825153191124</v>
      </c>
      <c r="P125" s="15">
        <f t="shared" si="22"/>
        <v>10.965202789615105</v>
      </c>
      <c r="Q125" s="15">
        <f>IF(AND(AND(AND(t-MOD(t,T_1)&gt;0,t &gt;t-MOD(t,T_1)),  AND(t-MOD(t,T_1)&gt;0,t &lt;=t-MOD(t,T_1)+T_1)), ω2dec &gt;= ω3),  ω2dec,  ω3  )</f>
        <v>10.965202789615105</v>
      </c>
      <c r="R125" s="15">
        <f>IF(   AND(   MOD(t,T_1)&gt;=3*T_1/4,   MOD(t,T_1)&lt;=T_1 ),  ϒ/R_3, 0)</f>
        <v>0</v>
      </c>
      <c r="S125" s="70">
        <f t="shared" si="23"/>
        <v>0</v>
      </c>
      <c r="T125" s="71">
        <f t="shared" si="24"/>
        <v>0</v>
      </c>
      <c r="U125" s="72">
        <f t="shared" si="25"/>
        <v>0.47822047647042931</v>
      </c>
      <c r="V125"/>
      <c r="W125"/>
      <c r="X125"/>
      <c r="Y125"/>
      <c r="Z125"/>
      <c r="AA125"/>
      <c r="AB125"/>
      <c r="AC125"/>
      <c r="AD125"/>
      <c r="AE125"/>
    </row>
    <row r="126" spans="9:31" x14ac:dyDescent="0.25">
      <c r="I126" s="47"/>
      <c r="J126" s="46"/>
      <c r="K126" s="27">
        <f t="shared" si="26"/>
        <v>0.18392857142857102</v>
      </c>
      <c r="L126" s="28">
        <f t="shared" si="0"/>
        <v>-1.1349762493487845E-3</v>
      </c>
      <c r="M126" s="29">
        <f t="shared" si="6"/>
        <v>-0.1959425685483564</v>
      </c>
      <c r="N126" s="15">
        <f t="shared" si="21"/>
        <v>8.7821850031924509</v>
      </c>
      <c r="O126" s="29">
        <f t="shared" si="1"/>
        <v>-19.594256854835638</v>
      </c>
      <c r="P126" s="15">
        <f t="shared" si="22"/>
        <v>10.453015193194251</v>
      </c>
      <c r="Q126" s="15">
        <f>IF(AND(AND(AND(t-MOD(t,T_1)&gt;0,t &gt;t-MOD(t,T_1)),  AND(t-MOD(t,T_1)&gt;0,t &lt;=t-MOD(t,T_1)+T_1)), ω2dec &gt;= ω3),  ω2dec,  ω3  )</f>
        <v>10.453015193194251</v>
      </c>
      <c r="R126" s="15">
        <f>IF(   AND(   MOD(t,T_1)&gt;=3*T_1/4,   MOD(t,T_1)&lt;=T_1 ),  ϒ/R_3, 0)</f>
        <v>0</v>
      </c>
      <c r="S126" s="70">
        <f t="shared" si="23"/>
        <v>0</v>
      </c>
      <c r="T126" s="71">
        <f t="shared" si="24"/>
        <v>0</v>
      </c>
      <c r="U126" s="72">
        <f t="shared" si="25"/>
        <v>0.70257480025539609</v>
      </c>
      <c r="V126"/>
      <c r="W126"/>
      <c r="X126"/>
      <c r="Y126"/>
      <c r="Z126"/>
      <c r="AA126"/>
      <c r="AB126"/>
      <c r="AC126"/>
      <c r="AD126"/>
      <c r="AE126"/>
    </row>
    <row r="127" spans="9:31" x14ac:dyDescent="0.25">
      <c r="I127" s="47"/>
      <c r="J127" s="46"/>
      <c r="K127" s="27">
        <f t="shared" si="26"/>
        <v>0.1857142857142853</v>
      </c>
      <c r="L127" s="28">
        <f t="shared" si="0"/>
        <v>-1.4694631307311096E-3</v>
      </c>
      <c r="M127" s="29">
        <f t="shared" si="6"/>
        <v>-0.17791212923103877</v>
      </c>
      <c r="N127" s="15">
        <f t="shared" si="21"/>
        <v>11.370367509325009</v>
      </c>
      <c r="O127" s="29">
        <f t="shared" si="1"/>
        <v>-17.791212923103878</v>
      </c>
      <c r="P127" s="15">
        <f t="shared" si="22"/>
        <v>9.9408275967733939</v>
      </c>
      <c r="Q127" s="15">
        <f>IF(AND(AND(AND(t-MOD(t,T_1)&gt;0,t &gt;t-MOD(t,T_1)),  AND(t-MOD(t,T_1)&gt;0,t &lt;=t-MOD(t,T_1)+T_1)), ω2dec &gt;= ω3),  ω2dec,  ω3  )</f>
        <v>9.9408275967733939</v>
      </c>
      <c r="R127" s="15">
        <f>IF(   AND(   MOD(t,T_1)&gt;=3*T_1/4,   MOD(t,T_1)&lt;=T_1 ),  ϒ/R_3, 0)</f>
        <v>0</v>
      </c>
      <c r="S127" s="70">
        <f t="shared" si="23"/>
        <v>0</v>
      </c>
      <c r="T127" s="71">
        <f t="shared" si="24"/>
        <v>0</v>
      </c>
      <c r="U127" s="72">
        <f t="shared" si="25"/>
        <v>0.90962940074600074</v>
      </c>
      <c r="V127"/>
      <c r="W127"/>
      <c r="X127"/>
      <c r="Y127"/>
      <c r="Z127"/>
      <c r="AA127"/>
      <c r="AB127"/>
      <c r="AC127"/>
      <c r="AD127"/>
      <c r="AE127"/>
    </row>
    <row r="128" spans="9:31" x14ac:dyDescent="0.25">
      <c r="I128" s="47"/>
      <c r="J128" s="46"/>
      <c r="K128" s="27">
        <f t="shared" si="26"/>
        <v>0.18749999999999958</v>
      </c>
      <c r="L128" s="28">
        <f t="shared" si="0"/>
        <v>-1.7677669529663001E-3</v>
      </c>
      <c r="M128" s="29">
        <f t="shared" si="6"/>
        <v>-0.15550090283554885</v>
      </c>
      <c r="N128" s="15">
        <f t="shared" si="21"/>
        <v>13.678573831291672</v>
      </c>
      <c r="O128" s="29">
        <f t="shared" si="1"/>
        <v>-15.550090283554885</v>
      </c>
      <c r="P128" s="15">
        <f t="shared" si="22"/>
        <v>9.428640000352539</v>
      </c>
      <c r="Q128" s="15">
        <f>IF(AND(AND(AND(t-MOD(t,T_1)&gt;0,t &gt;t-MOD(t,T_1)),  AND(t-MOD(t,T_1)&gt;0,t &lt;=t-MOD(t,T_1)+T_1)), ω2dec &gt;= ω3),  ω2dec,  ω3  )</f>
        <v>9.428640000352539</v>
      </c>
      <c r="R128" s="15">
        <f>IF(   AND(   MOD(t,T_1)&gt;=3*T_1/4,   MOD(t,T_1)&lt;=T_1 ),  ϒ/R_3, 0)</f>
        <v>0</v>
      </c>
      <c r="S128" s="70">
        <f t="shared" si="23"/>
        <v>0</v>
      </c>
      <c r="T128" s="71">
        <f t="shared" si="24"/>
        <v>0</v>
      </c>
      <c r="U128" s="72">
        <f t="shared" si="25"/>
        <v>1.0942859065033337</v>
      </c>
      <c r="V128"/>
      <c r="W128"/>
      <c r="X128"/>
      <c r="Y128"/>
      <c r="Z128"/>
      <c r="AA128"/>
      <c r="AB128"/>
      <c r="AC128"/>
      <c r="AD128"/>
      <c r="AE128"/>
    </row>
    <row r="129" spans="9:31" x14ac:dyDescent="0.25">
      <c r="I129" s="47"/>
      <c r="J129" s="46"/>
      <c r="K129" s="27">
        <f t="shared" si="26"/>
        <v>0.18928571428571386</v>
      </c>
      <c r="L129" s="28">
        <f t="shared" si="0"/>
        <v>-2.022542485937313E-3</v>
      </c>
      <c r="M129" s="29">
        <f t="shared" si="6"/>
        <v>-0.1292607281343387</v>
      </c>
      <c r="N129" s="15">
        <f t="shared" si="21"/>
        <v>15.64996826894814</v>
      </c>
      <c r="O129" s="29">
        <f t="shared" si="1"/>
        <v>-12.926072813433869</v>
      </c>
      <c r="P129" s="15">
        <f t="shared" si="22"/>
        <v>8.9164524039316806</v>
      </c>
      <c r="Q129" s="15">
        <f>IF(AND(AND(AND(t-MOD(t,T_1)&gt;0,t &gt;t-MOD(t,T_1)),  AND(t-MOD(t,T_1)&gt;0,t &lt;=t-MOD(t,T_1)+T_1)), ω2dec &gt;= ω3),  ω2dec,  ω3  )</f>
        <v>8.9164524039316806</v>
      </c>
      <c r="R129" s="15">
        <f>IF(   AND(   MOD(t,T_1)&gt;=3*T_1/4,   MOD(t,T_1)&lt;=T_1 ),  ϒ/R_3, 0)</f>
        <v>0</v>
      </c>
      <c r="S129" s="70">
        <f t="shared" si="23"/>
        <v>0</v>
      </c>
      <c r="T129" s="71">
        <f t="shared" si="24"/>
        <v>0</v>
      </c>
      <c r="U129" s="72">
        <f t="shared" si="25"/>
        <v>1.2519974615158511</v>
      </c>
      <c r="V129"/>
      <c r="W129"/>
      <c r="X129"/>
      <c r="Y129"/>
      <c r="Z129"/>
      <c r="AA129"/>
      <c r="AB129"/>
      <c r="AC129"/>
      <c r="AD129"/>
      <c r="AE129"/>
    </row>
    <row r="130" spans="9:31" x14ac:dyDescent="0.25">
      <c r="I130" s="47"/>
      <c r="J130" s="46"/>
      <c r="K130" s="27">
        <f t="shared" si="26"/>
        <v>0.19107142857142814</v>
      </c>
      <c r="L130" s="28">
        <f t="shared" si="0"/>
        <v>-2.2275163104708774E-3</v>
      </c>
      <c r="M130" s="29">
        <f t="shared" si="6"/>
        <v>-9.9837725314699602E-2</v>
      </c>
      <c r="N130" s="15">
        <f t="shared" si="21"/>
        <v>17.236008548556217</v>
      </c>
      <c r="O130" s="29">
        <f t="shared" si="1"/>
        <v>-9.9837725314699597</v>
      </c>
      <c r="P130" s="15">
        <f t="shared" si="22"/>
        <v>8.4042648075108257</v>
      </c>
      <c r="Q130" s="15">
        <f>IF(AND(AND(AND(t-MOD(t,T_1)&gt;0,t &gt;t-MOD(t,T_1)),  AND(t-MOD(t,T_1)&gt;0,t &lt;=t-MOD(t,T_1)+T_1)), ω2dec &gt;= ω3),  ω2dec,  ω3  )</f>
        <v>8.4042648075108257</v>
      </c>
      <c r="R130" s="15">
        <f>IF(   AND(   MOD(t,T_1)&gt;=3*T_1/4,   MOD(t,T_1)&lt;=T_1 ),  ϒ/R_3, 0)</f>
        <v>0</v>
      </c>
      <c r="S130" s="70">
        <f t="shared" si="23"/>
        <v>0</v>
      </c>
      <c r="T130" s="71">
        <f t="shared" si="24"/>
        <v>0</v>
      </c>
      <c r="U130" s="72">
        <f t="shared" si="25"/>
        <v>1.3788806838844974</v>
      </c>
      <c r="V130"/>
      <c r="W130"/>
      <c r="X130"/>
      <c r="Y130"/>
      <c r="Z130"/>
      <c r="AA130"/>
      <c r="AB130"/>
      <c r="AC130"/>
      <c r="AD130"/>
      <c r="AE130"/>
    </row>
    <row r="131" spans="9:31" x14ac:dyDescent="0.25">
      <c r="I131" s="47"/>
      <c r="J131" s="46"/>
      <c r="K131" s="27">
        <f t="shared" si="26"/>
        <v>0.19285714285714242</v>
      </c>
      <c r="L131" s="28">
        <f t="shared" si="0"/>
        <v>-2.3776412907378533E-3</v>
      </c>
      <c r="M131" s="29">
        <f t="shared" si="6"/>
        <v>-6.7956386355399634E-2</v>
      </c>
      <c r="N131" s="15">
        <f t="shared" si="21"/>
        <v>18.397641094666032</v>
      </c>
      <c r="O131" s="29">
        <f t="shared" si="1"/>
        <v>-6.7956386355399632</v>
      </c>
      <c r="P131" s="15">
        <f t="shared" si="22"/>
        <v>7.8920772110899691</v>
      </c>
      <c r="Q131" s="15">
        <f>IF(AND(AND(AND(t-MOD(t,T_1)&gt;0,t &gt;t-MOD(t,T_1)),  AND(t-MOD(t,T_1)&gt;0,t &lt;=t-MOD(t,T_1)+T_1)), ω2dec &gt;= ω3),  ω2dec,  ω3  )</f>
        <v>7.8920772110899691</v>
      </c>
      <c r="R131" s="15">
        <f>IF(   AND(   MOD(t,T_1)&gt;=3*T_1/4,   MOD(t,T_1)&lt;=T_1 ),  ϒ/R_3, 0)</f>
        <v>0</v>
      </c>
      <c r="S131" s="70">
        <f t="shared" si="23"/>
        <v>0</v>
      </c>
      <c r="T131" s="71">
        <f t="shared" si="24"/>
        <v>0</v>
      </c>
      <c r="U131" s="72">
        <f t="shared" si="25"/>
        <v>1.4718112875732825</v>
      </c>
      <c r="V131"/>
      <c r="W131"/>
      <c r="X131"/>
      <c r="Y131"/>
      <c r="Z131"/>
      <c r="AA131"/>
      <c r="AB131"/>
      <c r="AC131"/>
      <c r="AD131"/>
      <c r="AE131"/>
    </row>
    <row r="132" spans="9:31" x14ac:dyDescent="0.25">
      <c r="I132" s="47"/>
      <c r="J132" s="46"/>
      <c r="K132" s="27">
        <f t="shared" si="26"/>
        <v>0.1946428571428567</v>
      </c>
      <c r="L132" s="28">
        <f t="shared" si="0"/>
        <v>-2.4692208514878293E-3</v>
      </c>
      <c r="M132" s="29">
        <f t="shared" si="6"/>
        <v>-3.4401735629713145E-2</v>
      </c>
      <c r="N132" s="15">
        <f t="shared" si="21"/>
        <v>19.106262658755021</v>
      </c>
      <c r="O132" s="29">
        <f t="shared" si="1"/>
        <v>-3.4401735629713146</v>
      </c>
      <c r="P132" s="15">
        <f t="shared" si="22"/>
        <v>7.3798896146691142</v>
      </c>
      <c r="Q132" s="15">
        <f>IF(AND(AND(AND(t-MOD(t,T_1)&gt;0,t &gt;t-MOD(t,T_1)),  AND(t-MOD(t,T_1)&gt;0,t &lt;=t-MOD(t,T_1)+T_1)), ω2dec &gt;= ω3),  ω2dec,  ω3  )</f>
        <v>7.3798896146691142</v>
      </c>
      <c r="R132" s="15">
        <f>IF(   AND(   MOD(t,T_1)&gt;=3*T_1/4,   MOD(t,T_1)&lt;=T_1 ),  ϒ/R_3, 0)</f>
        <v>0</v>
      </c>
      <c r="S132" s="70">
        <f t="shared" si="23"/>
        <v>0</v>
      </c>
      <c r="T132" s="71">
        <f t="shared" si="24"/>
        <v>0</v>
      </c>
      <c r="U132" s="72">
        <f t="shared" si="25"/>
        <v>1.5285010127004017</v>
      </c>
      <c r="V132"/>
      <c r="W132"/>
      <c r="X132"/>
      <c r="Y132"/>
      <c r="Z132"/>
      <c r="AA132"/>
      <c r="AB132"/>
      <c r="AC132"/>
      <c r="AD132"/>
      <c r="AE132"/>
    </row>
    <row r="133" spans="9:31" x14ac:dyDescent="0.25">
      <c r="I133" s="47"/>
      <c r="J133" s="46" t="s">
        <v>63</v>
      </c>
      <c r="K133" s="27">
        <f t="shared" si="26"/>
        <v>0.19642857142857098</v>
      </c>
      <c r="L133" s="28">
        <f t="shared" si="0"/>
        <v>-2.5000000000000001E-3</v>
      </c>
      <c r="M133" s="29">
        <f t="shared" si="6"/>
        <v>-9.1329325702119009E-15</v>
      </c>
      <c r="N133" s="15">
        <f t="shared" si="21"/>
        <v>19.344424626135144</v>
      </c>
      <c r="O133" s="29">
        <f t="shared" si="1"/>
        <v>-9.1329325702119012E-13</v>
      </c>
      <c r="P133" s="15">
        <f t="shared" si="22"/>
        <v>6.8677020182482575</v>
      </c>
      <c r="Q133" s="15">
        <f>IF(AND(AND(AND(t-MOD(t,T_1)&gt;0,t &gt;t-MOD(t,T_1)),  AND(t-MOD(t,T_1)&gt;0,t &lt;=t-MOD(t,T_1)+T_1)), ω2dec &gt;= ω3),  ω2dec,  ω3  )</f>
        <v>6.8677020182482575</v>
      </c>
      <c r="R133" s="15">
        <f>IF(   AND(   MOD(t,T_1)&gt;=3*T_1/4,   MOD(t,T_1)&lt;=T_1 ),  ϒ/R_3, 0)</f>
        <v>0</v>
      </c>
      <c r="S133" s="70">
        <f t="shared" si="23"/>
        <v>0</v>
      </c>
      <c r="T133" s="71">
        <f t="shared" si="24"/>
        <v>0</v>
      </c>
      <c r="U133" s="72">
        <f t="shared" si="25"/>
        <v>1.5475539700908116</v>
      </c>
      <c r="V133"/>
      <c r="W133"/>
      <c r="X133"/>
      <c r="Y133"/>
      <c r="Z133"/>
      <c r="AA133"/>
      <c r="AB133"/>
      <c r="AC133"/>
      <c r="AD133"/>
      <c r="AE133"/>
    </row>
    <row r="134" spans="9:31" x14ac:dyDescent="0.25">
      <c r="I134" s="47"/>
      <c r="J134" s="46"/>
      <c r="K134" s="30">
        <f t="shared" si="26"/>
        <v>0.19821428571428526</v>
      </c>
      <c r="L134" s="31">
        <f t="shared" si="0"/>
        <v>-2.4692208514878601E-3</v>
      </c>
      <c r="M134" s="32">
        <f t="shared" si="6"/>
        <v>3.4401735629695882E-2</v>
      </c>
      <c r="N134" s="13">
        <f t="shared" si="21"/>
        <v>19.106262658755259</v>
      </c>
      <c r="O134" s="32">
        <f t="shared" si="1"/>
        <v>3.440173562969588</v>
      </c>
      <c r="P134" s="13">
        <f t="shared" si="22"/>
        <v>6.3555144218274027</v>
      </c>
      <c r="Q134" s="13">
        <f>IF(AND(AND(AND(t-MOD(t,T_1)&gt;0,t &gt;t-MOD(t,T_1)),  AND(t-MOD(t,T_1)&gt;0,t &lt;=t-MOD(t,T_1)+T_1)), ω2dec &gt;= ω3),  ω2dec,  ω3  )</f>
        <v>6.3555144218274027</v>
      </c>
      <c r="R134" s="13">
        <f>IF(   AND(   MOD(t,T_1)&gt;=3*T_1/4,   MOD(t,T_1)&lt;=T_1 ),  ϒ/R_3, 0)</f>
        <v>1910.6262658755259</v>
      </c>
      <c r="S134" s="59">
        <f t="shared" si="23"/>
        <v>0.24014327310743655</v>
      </c>
      <c r="T134" s="60">
        <f t="shared" si="24"/>
        <v>24.014327310743653</v>
      </c>
      <c r="U134" s="64">
        <f t="shared" si="25"/>
        <v>25.542828323444073</v>
      </c>
      <c r="V134"/>
      <c r="W134"/>
      <c r="X134"/>
      <c r="Y134"/>
      <c r="Z134"/>
      <c r="AA134"/>
      <c r="AB134"/>
      <c r="AC134"/>
      <c r="AD134"/>
      <c r="AE134"/>
    </row>
    <row r="135" spans="9:31" x14ac:dyDescent="0.25">
      <c r="I135" s="47"/>
      <c r="J135" s="46"/>
      <c r="K135" s="30">
        <f t="shared" si="26"/>
        <v>0.19999999999999954</v>
      </c>
      <c r="L135" s="31">
        <f t="shared" si="0"/>
        <v>-2.3776412907379149E-3</v>
      </c>
      <c r="M135" s="32">
        <f t="shared" si="6"/>
        <v>6.7956386355383008E-2</v>
      </c>
      <c r="N135" s="13">
        <f t="shared" si="21"/>
        <v>18.397641094666508</v>
      </c>
      <c r="O135" s="32">
        <f t="shared" si="1"/>
        <v>6.7956386355383005</v>
      </c>
      <c r="P135" s="13">
        <f t="shared" si="22"/>
        <v>5.843326825406546</v>
      </c>
      <c r="Q135" s="13">
        <f>IF(AND(AND(AND(t-MOD(t,T_1)&gt;0,t &gt;t-MOD(t,T_1)),  AND(t-MOD(t,T_1)&gt;0,t &lt;=t-MOD(t,T_1)+T_1)), ω2dec &gt;= ω3),  ω2dec,  ω3  )</f>
        <v>6.7956386355383005</v>
      </c>
      <c r="R135" s="13">
        <f>IF(   AND(   MOD(t,T_1)&gt;=3*T_1/4,   MOD(t,T_1)&lt;=T_1 ),  ϒ/R_3, 0)</f>
        <v>1839.7641094666508</v>
      </c>
      <c r="S135" s="59">
        <f t="shared" si="23"/>
        <v>0.23185240080759817</v>
      </c>
      <c r="T135" s="60">
        <f t="shared" si="24"/>
        <v>23.185240080759815</v>
      </c>
      <c r="U135" s="64">
        <f t="shared" si="25"/>
        <v>24.657051368333136</v>
      </c>
      <c r="V135"/>
      <c r="W135"/>
      <c r="X135"/>
      <c r="Y135"/>
      <c r="Z135"/>
      <c r="AA135"/>
      <c r="AB135"/>
      <c r="AC135"/>
      <c r="AD135"/>
      <c r="AE135"/>
    </row>
    <row r="136" spans="9:31" x14ac:dyDescent="0.25">
      <c r="I136" s="47"/>
      <c r="J136" s="46"/>
      <c r="K136" s="30">
        <f t="shared" si="26"/>
        <v>0.20178571428571382</v>
      </c>
      <c r="L136" s="31">
        <f t="shared" si="0"/>
        <v>-2.2275163104709676E-3</v>
      </c>
      <c r="M136" s="32">
        <f t="shared" si="6"/>
        <v>9.9837725314684031E-2</v>
      </c>
      <c r="N136" s="13">
        <f t="shared" si="21"/>
        <v>17.236008548556914</v>
      </c>
      <c r="O136" s="32">
        <f t="shared" si="1"/>
        <v>9.9837725314684036</v>
      </c>
      <c r="P136" s="13">
        <f t="shared" si="22"/>
        <v>5.3311392289856911</v>
      </c>
      <c r="Q136" s="13">
        <f>IF(AND(AND(AND(t-MOD(t,T_1)&gt;0,t &gt;t-MOD(t,T_1)),  AND(t-MOD(t,T_1)&gt;0,t &lt;=t-MOD(t,T_1)+T_1)), ω2dec &gt;= ω3),  ω2dec,  ω3  )</f>
        <v>9.9837725314684036</v>
      </c>
      <c r="R136" s="13">
        <f>IF(   AND(   MOD(t,T_1)&gt;=3*T_1/4,   MOD(t,T_1)&lt;=T_1 ),  ϒ/R_3, 0)</f>
        <v>1723.6008548556913</v>
      </c>
      <c r="S136" s="59">
        <f t="shared" si="23"/>
        <v>0.21826130001811592</v>
      </c>
      <c r="T136" s="60">
        <f t="shared" si="24"/>
        <v>21.826130001811592</v>
      </c>
      <c r="U136" s="64">
        <f t="shared" si="25"/>
        <v>23.205010685696145</v>
      </c>
      <c r="V136"/>
      <c r="W136"/>
      <c r="X136"/>
      <c r="Y136"/>
      <c r="Z136"/>
      <c r="AA136"/>
      <c r="AB136"/>
      <c r="AC136"/>
      <c r="AD136"/>
      <c r="AE136"/>
    </row>
    <row r="137" spans="9:31" x14ac:dyDescent="0.25">
      <c r="I137" s="47"/>
      <c r="J137" s="46"/>
      <c r="K137" s="30">
        <f t="shared" si="26"/>
        <v>0.2035714285714281</v>
      </c>
      <c r="L137" s="31">
        <f t="shared" si="0"/>
        <v>-2.0225424859374296E-3</v>
      </c>
      <c r="M137" s="32">
        <f t="shared" si="6"/>
        <v>0.12926072813432457</v>
      </c>
      <c r="N137" s="13">
        <f t="shared" si="21"/>
        <v>15.649968268949044</v>
      </c>
      <c r="O137" s="32">
        <f t="shared" si="1"/>
        <v>12.926072813432457</v>
      </c>
      <c r="P137" s="13">
        <f t="shared" si="22"/>
        <v>4.8189516325648363</v>
      </c>
      <c r="Q137" s="13">
        <f>IF(AND(AND(AND(t-MOD(t,T_1)&gt;0,t &gt;t-MOD(t,T_1)),  AND(t-MOD(t,T_1)&gt;0,t &lt;=t-MOD(t,T_1)+T_1)), ω2dec &gt;= ω3),  ω2dec,  ω3  )</f>
        <v>12.926072813432457</v>
      </c>
      <c r="R137" s="13">
        <f>IF(   AND(   MOD(t,T_1)&gt;=3*T_1/4,   MOD(t,T_1)&lt;=T_1 ),  ϒ/R_3, 0)</f>
        <v>1564.9968268949044</v>
      </c>
      <c r="S137" s="59">
        <f t="shared" si="23"/>
        <v>0.19970462874670383</v>
      </c>
      <c r="T137" s="60">
        <f t="shared" si="24"/>
        <v>19.970462874670382</v>
      </c>
      <c r="U137" s="64">
        <f t="shared" si="25"/>
        <v>21.222460336186305</v>
      </c>
      <c r="V137"/>
      <c r="W137"/>
      <c r="X137"/>
      <c r="Y137"/>
      <c r="Z137"/>
      <c r="AA137"/>
      <c r="AB137"/>
      <c r="AC137"/>
      <c r="AD137"/>
      <c r="AE137"/>
    </row>
    <row r="138" spans="9:31" x14ac:dyDescent="0.25">
      <c r="I138" s="47"/>
      <c r="J138" s="46"/>
      <c r="K138" s="30">
        <f t="shared" si="26"/>
        <v>0.20535714285714238</v>
      </c>
      <c r="L138" s="31">
        <f t="shared" si="0"/>
        <v>-1.7677669529664469E-3</v>
      </c>
      <c r="M138" s="32">
        <f t="shared" si="6"/>
        <v>0.15550090283553594</v>
      </c>
      <c r="N138" s="13">
        <f t="shared" si="21"/>
        <v>13.678573831292809</v>
      </c>
      <c r="O138" s="32">
        <f t="shared" si="1"/>
        <v>15.550090283553594</v>
      </c>
      <c r="P138" s="13">
        <f t="shared" si="22"/>
        <v>4.3067640361439778</v>
      </c>
      <c r="Q138" s="13">
        <f>IF(AND(AND(AND(t-MOD(t,T_1)&gt;0,t &gt;t-MOD(t,T_1)),  AND(t-MOD(t,T_1)&gt;0,t &lt;=t-MOD(t,T_1)+T_1)), ω2dec &gt;= ω3),  ω2dec,  ω3  )</f>
        <v>15.550090283553594</v>
      </c>
      <c r="R138" s="13">
        <f>IF(   AND(   MOD(t,T_1)&gt;=3*T_1/4,   MOD(t,T_1)&lt;=T_1 ),  ϒ/R_3, 0)</f>
        <v>1367.8573831292808</v>
      </c>
      <c r="S138" s="59">
        <f t="shared" si="23"/>
        <v>0.17663931382612588</v>
      </c>
      <c r="T138" s="60">
        <f t="shared" si="24"/>
        <v>17.663931382612589</v>
      </c>
      <c r="U138" s="64">
        <f t="shared" si="25"/>
        <v>18.758217289116015</v>
      </c>
      <c r="V138"/>
      <c r="W138"/>
      <c r="X138"/>
      <c r="Y138"/>
      <c r="Z138"/>
      <c r="AA138"/>
      <c r="AB138"/>
      <c r="AC138"/>
      <c r="AD138"/>
      <c r="AE138"/>
    </row>
    <row r="139" spans="9:31" x14ac:dyDescent="0.25">
      <c r="I139" s="47"/>
      <c r="J139" s="46"/>
      <c r="K139" s="30">
        <f t="shared" si="26"/>
        <v>0.20714285714285666</v>
      </c>
      <c r="L139" s="31">
        <f t="shared" si="0"/>
        <v>-1.4694631307312705E-3</v>
      </c>
      <c r="M139" s="32">
        <f t="shared" si="6"/>
        <v>0.17791212923102848</v>
      </c>
      <c r="N139" s="13">
        <f t="shared" si="21"/>
        <v>11.370367509326254</v>
      </c>
      <c r="O139" s="32">
        <f t="shared" si="1"/>
        <v>17.791212923102847</v>
      </c>
      <c r="P139" s="13">
        <f t="shared" si="22"/>
        <v>3.7945764397231194</v>
      </c>
      <c r="Q139" s="13">
        <f>IF(AND(AND(AND(t-MOD(t,T_1)&gt;0,t &gt;t-MOD(t,T_1)),  AND(t-MOD(t,T_1)&gt;0,t &lt;=t-MOD(t,T_1)+T_1)), ω2dec &gt;= ω3),  ω2dec,  ω3  )</f>
        <v>17.791212923102847</v>
      </c>
      <c r="R139" s="13">
        <f>IF(   AND(   MOD(t,T_1)&gt;=3*T_1/4,   MOD(t,T_1)&lt;=T_1 ),  ϒ/R_3, 0)</f>
        <v>1137.0367509326254</v>
      </c>
      <c r="S139" s="59">
        <f t="shared" si="23"/>
        <v>0.14963329985911719</v>
      </c>
      <c r="T139" s="60">
        <f t="shared" si="24"/>
        <v>14.963329985911718</v>
      </c>
      <c r="U139" s="64">
        <f t="shared" si="25"/>
        <v>15.872959386657818</v>
      </c>
      <c r="V139"/>
      <c r="W139"/>
      <c r="X139"/>
      <c r="Y139"/>
      <c r="Z139"/>
      <c r="AA139"/>
      <c r="AB139"/>
      <c r="AC139"/>
      <c r="AD139"/>
      <c r="AE139"/>
    </row>
    <row r="140" spans="9:31" x14ac:dyDescent="0.25">
      <c r="I140" s="47"/>
      <c r="J140" s="46"/>
      <c r="K140" s="30">
        <f t="shared" si="26"/>
        <v>0.20892857142857094</v>
      </c>
      <c r="L140" s="31">
        <f t="shared" si="0"/>
        <v>-1.1349762493489616E-3</v>
      </c>
      <c r="M140" s="32">
        <f t="shared" si="6"/>
        <v>0.19594256854834846</v>
      </c>
      <c r="N140" s="13">
        <f t="shared" si="21"/>
        <v>8.7821850031938204</v>
      </c>
      <c r="O140" s="32">
        <f t="shared" si="1"/>
        <v>19.594256854834846</v>
      </c>
      <c r="P140" s="13">
        <f t="shared" si="22"/>
        <v>3.2823888433022645</v>
      </c>
      <c r="Q140" s="13">
        <f>IF(AND(AND(AND(t-MOD(t,T_1)&gt;0,t &gt;t-MOD(t,T_1)),  AND(t-MOD(t,T_1)&gt;0,t &lt;=t-MOD(t,T_1)+T_1)), ω2dec &gt;= ω3),  ω2dec,  ω3  )</f>
        <v>19.594256854834846</v>
      </c>
      <c r="R140" s="13">
        <f>IF(   AND(   MOD(t,T_1)&gt;=3*T_1/4,   MOD(t,T_1)&lt;=T_1 ),  ϒ/R_3, 0)</f>
        <v>878.21850031938197</v>
      </c>
      <c r="S140" s="59">
        <f t="shared" si="23"/>
        <v>0.1193515645373677</v>
      </c>
      <c r="T140" s="60">
        <f t="shared" si="24"/>
        <v>11.93515645373677</v>
      </c>
      <c r="U140" s="64">
        <f t="shared" si="25"/>
        <v>12.637731253992275</v>
      </c>
      <c r="V140"/>
      <c r="W140"/>
      <c r="X140"/>
      <c r="Y140"/>
      <c r="Z140"/>
      <c r="AA140"/>
      <c r="AB140"/>
      <c r="AC140"/>
      <c r="AD140"/>
      <c r="AE140"/>
    </row>
    <row r="141" spans="9:31" x14ac:dyDescent="0.25">
      <c r="I141" s="47"/>
      <c r="J141" s="46"/>
      <c r="K141" s="30">
        <f t="shared" si="26"/>
        <v>0.21071428571428522</v>
      </c>
      <c r="L141" s="31">
        <f t="shared" si="0"/>
        <v>-7.7254248593747589E-4</v>
      </c>
      <c r="M141" s="32">
        <f t="shared" si="6"/>
        <v>0.20914825153190586</v>
      </c>
      <c r="N141" s="13">
        <f t="shared" si="21"/>
        <v>5.977755955881829</v>
      </c>
      <c r="O141" s="32">
        <f t="shared" si="1"/>
        <v>20.914825153190584</v>
      </c>
      <c r="P141" s="13">
        <f t="shared" si="22"/>
        <v>2.7702012468814097</v>
      </c>
      <c r="Q141" s="13">
        <f>IF(AND(AND(AND(t-MOD(t,T_1)&gt;0,t &gt;t-MOD(t,T_1)),  AND(t-MOD(t,T_1)&gt;0,t &lt;=t-MOD(t,T_1)+T_1)), ω2dec &gt;= ω3),  ω2dec,  ω3  )</f>
        <v>20.914825153190584</v>
      </c>
      <c r="R141" s="13">
        <f>IF(   AND(   MOD(t,T_1)&gt;=3*T_1/4,   MOD(t,T_1)&lt;=T_1 ),  ϒ/R_3, 0)</f>
        <v>597.77559558818291</v>
      </c>
      <c r="S141" s="59">
        <f t="shared" si="23"/>
        <v>8.6539744683817407E-2</v>
      </c>
      <c r="T141" s="60">
        <f t="shared" si="24"/>
        <v>8.6539744683817403</v>
      </c>
      <c r="U141" s="64">
        <f t="shared" si="25"/>
        <v>9.1321949448522872</v>
      </c>
      <c r="V141"/>
      <c r="W141"/>
      <c r="X141"/>
      <c r="Y141"/>
      <c r="Z141"/>
      <c r="AA141"/>
      <c r="AB141"/>
      <c r="AC141"/>
      <c r="AD141"/>
      <c r="AE141"/>
    </row>
    <row r="142" spans="9:31" x14ac:dyDescent="0.25">
      <c r="I142" s="47"/>
      <c r="J142" s="46"/>
      <c r="K142" s="30">
        <f t="shared" si="26"/>
        <v>0.21249999999999949</v>
      </c>
      <c r="L142" s="31">
        <f t="shared" si="0"/>
        <v>-3.9108616260068646E-4</v>
      </c>
      <c r="M142" s="32">
        <f t="shared" si="6"/>
        <v>0.21720401043949694</v>
      </c>
      <c r="N142" s="13">
        <f t="shared" si="21"/>
        <v>3.0261347179013649</v>
      </c>
      <c r="O142" s="32">
        <f t="shared" si="1"/>
        <v>21.720401043949693</v>
      </c>
      <c r="P142" s="13">
        <f t="shared" si="22"/>
        <v>2.2580136504605548</v>
      </c>
      <c r="Q142" s="13">
        <f>IF(AND(AND(AND(t-MOD(t,T_1)&gt;0,t &gt;t-MOD(t,T_1)),  AND(t-MOD(t,T_1)&gt;0,t &lt;=t-MOD(t,T_1)+T_1)), ω2dec &gt;= ω3),  ω2dec,  ω3  )</f>
        <v>21.720401043949693</v>
      </c>
      <c r="R142" s="13">
        <f>IF(   AND(   MOD(t,T_1)&gt;=3*T_1/4,   MOD(t,T_1)&lt;=T_1 ),  ϒ/R_3, 0)</f>
        <v>302.61347179013649</v>
      </c>
      <c r="S142" s="59">
        <f t="shared" si="23"/>
        <v>5.2005776199445977E-2</v>
      </c>
      <c r="T142" s="60">
        <f t="shared" si="24"/>
        <v>5.2005776199445979</v>
      </c>
      <c r="U142" s="64">
        <f t="shared" si="25"/>
        <v>5.4426683973767069</v>
      </c>
      <c r="V142"/>
      <c r="W142"/>
      <c r="X142"/>
      <c r="Y142"/>
      <c r="Z142"/>
      <c r="AA142"/>
      <c r="AB142"/>
      <c r="AC142"/>
      <c r="AD142"/>
      <c r="AE142"/>
    </row>
    <row r="143" spans="9:31" x14ac:dyDescent="0.25">
      <c r="I143" s="47"/>
      <c r="J143" s="46" t="s">
        <v>57</v>
      </c>
      <c r="K143" s="30">
        <f t="shared" si="26"/>
        <v>0.21428571428571377</v>
      </c>
      <c r="L143" s="31">
        <f t="shared" si="0"/>
        <v>-1.1730091724337922E-16</v>
      </c>
      <c r="M143" s="32">
        <f t="shared" si="6"/>
        <v>0.21991148575128552</v>
      </c>
      <c r="N143" s="13">
        <f t="shared" si="21"/>
        <v>9.0764750087642618E-13</v>
      </c>
      <c r="O143" s="32">
        <f t="shared" si="1"/>
        <v>21.991148575128552</v>
      </c>
      <c r="P143" s="13">
        <f t="shared" si="22"/>
        <v>1.7458260540396964</v>
      </c>
      <c r="Q143" s="13">
        <f>IF(AND(AND(AND(t-MOD(t,T_1)&gt;0,t &gt;t-MOD(t,T_1)),  AND(t-MOD(t,T_1)&gt;0,t &lt;=t-MOD(t,T_1)+T_1)), ω2dec &gt;= ω3),  ω2dec,  ω3  )</f>
        <v>21.991148575128552</v>
      </c>
      <c r="R143" s="13">
        <f>IF(   AND(   MOD(t,T_1)&gt;=3*T_1/4,   MOD(t,T_1)&lt;=T_1 ),  ϒ/R_3, 0)</f>
        <v>9.0764750087642611E-11</v>
      </c>
      <c r="S143" s="59">
        <f t="shared" si="23"/>
        <v>1.660000000001062E-2</v>
      </c>
      <c r="T143" s="60">
        <f t="shared" si="24"/>
        <v>1.660000000001062</v>
      </c>
      <c r="U143" s="64">
        <f t="shared" si="25"/>
        <v>1.6600000000011346</v>
      </c>
      <c r="V143"/>
      <c r="W143"/>
      <c r="X143"/>
      <c r="Y143"/>
      <c r="Z143"/>
      <c r="AA143"/>
      <c r="AB143"/>
      <c r="AC143"/>
      <c r="AD143"/>
      <c r="AE143"/>
    </row>
    <row r="144" spans="9:31" x14ac:dyDescent="0.25">
      <c r="J144" s="4"/>
      <c r="K144" s="27">
        <f t="shared" si="26"/>
        <v>0.21607142857142805</v>
      </c>
      <c r="L144" s="28">
        <f t="shared" si="0"/>
        <v>3.9108616260046355E-4</v>
      </c>
      <c r="M144" s="29">
        <f t="shared" si="6"/>
        <v>0.21720401043950005</v>
      </c>
      <c r="N144" s="15">
        <f t="shared" si="21"/>
        <v>-3.0261347178996396</v>
      </c>
      <c r="O144" s="29">
        <f t="shared" si="1"/>
        <v>21.720401043950005</v>
      </c>
      <c r="P144" s="15">
        <f t="shared" si="22"/>
        <v>21.721142314453154</v>
      </c>
      <c r="Q144" s="15">
        <f>IF(AND(AND(AND(t-MOD(t,T_1)&gt;0,t &gt;t-MOD(t,T_1)),  AND(t-MOD(t,T_1)&gt;0,t &lt;=t-MOD(t,T_1)+T_1)), ω2dec &gt;= ω3),  ω2dec,  ω3  )</f>
        <v>21.721142314453154</v>
      </c>
      <c r="R144" s="15">
        <f>IF(   AND(   MOD(t,T_1)&gt;=3*T_1/4,   MOD(t,T_1)&lt;=T_1 ),  ϒ/R_3, 0)</f>
        <v>0</v>
      </c>
      <c r="S144" s="70">
        <f t="shared" si="23"/>
        <v>0</v>
      </c>
      <c r="T144" s="71">
        <f t="shared" si="24"/>
        <v>0</v>
      </c>
      <c r="U144" s="72">
        <f t="shared" si="25"/>
        <v>-0.24209077743197119</v>
      </c>
      <c r="V144"/>
      <c r="W144"/>
      <c r="X144"/>
      <c r="Y144"/>
      <c r="Z144"/>
      <c r="AA144"/>
      <c r="AB144"/>
      <c r="AC144"/>
      <c r="AD144"/>
      <c r="AE144"/>
    </row>
    <row r="145" spans="10:31" x14ac:dyDescent="0.25">
      <c r="J145" s="4"/>
      <c r="K145" s="27">
        <f t="shared" si="26"/>
        <v>0.21785714285714233</v>
      </c>
      <c r="L145" s="28">
        <f t="shared" si="0"/>
        <v>7.7254248593726122E-4</v>
      </c>
      <c r="M145" s="29">
        <f t="shared" si="6"/>
        <v>0.20914825153191199</v>
      </c>
      <c r="N145" s="15">
        <f t="shared" si="21"/>
        <v>-5.9777559558801672</v>
      </c>
      <c r="O145" s="29">
        <f t="shared" si="1"/>
        <v>20.914825153191199</v>
      </c>
      <c r="P145" s="15">
        <f t="shared" si="22"/>
        <v>21.208954718032295</v>
      </c>
      <c r="Q145" s="15">
        <f>IF(AND(AND(AND(t-MOD(t,T_1)&gt;0,t &gt;t-MOD(t,T_1)),  AND(t-MOD(t,T_1)&gt;0,t &lt;=t-MOD(t,T_1)+T_1)), ω2dec &gt;= ω3),  ω2dec,  ω3  )</f>
        <v>21.208954718032295</v>
      </c>
      <c r="R145" s="15">
        <f>IF(   AND(   MOD(t,T_1)&gt;=3*T_1/4,   MOD(t,T_1)&lt;=T_1 ),  ϒ/R_3, 0)</f>
        <v>0</v>
      </c>
      <c r="S145" s="70">
        <f t="shared" si="23"/>
        <v>0</v>
      </c>
      <c r="T145" s="71">
        <f t="shared" si="24"/>
        <v>0</v>
      </c>
      <c r="U145" s="72">
        <f t="shared" si="25"/>
        <v>-0.47822047647041338</v>
      </c>
      <c r="V145"/>
      <c r="W145"/>
      <c r="X145"/>
      <c r="Y145"/>
      <c r="Z145"/>
      <c r="AA145"/>
      <c r="AB145"/>
      <c r="AC145"/>
      <c r="AD145"/>
      <c r="AE145"/>
    </row>
    <row r="146" spans="10:31" x14ac:dyDescent="0.25">
      <c r="J146" s="4"/>
      <c r="K146" s="27">
        <f t="shared" si="26"/>
        <v>0.21964285714285661</v>
      </c>
      <c r="L146" s="28">
        <f t="shared" si="0"/>
        <v>1.1349762493487604E-3</v>
      </c>
      <c r="M146" s="29">
        <f t="shared" si="6"/>
        <v>0.19594256854835748</v>
      </c>
      <c r="N146" s="15">
        <f t="shared" si="21"/>
        <v>-8.7821850031922644</v>
      </c>
      <c r="O146" s="29">
        <f t="shared" si="1"/>
        <v>19.594256854835749</v>
      </c>
      <c r="P146" s="15">
        <f t="shared" si="22"/>
        <v>20.69676712161144</v>
      </c>
      <c r="Q146" s="15">
        <f>IF(AND(AND(AND(t-MOD(t,T_1)&gt;0,t &gt;t-MOD(t,T_1)),  AND(t-MOD(t,T_1)&gt;0,t &lt;=t-MOD(t,T_1)+T_1)), ω2dec &gt;= ω3),  ω2dec,  ω3  )</f>
        <v>20.69676712161144</v>
      </c>
      <c r="R146" s="15">
        <f>IF(   AND(   MOD(t,T_1)&gt;=3*T_1/4,   MOD(t,T_1)&lt;=T_1 ),  ϒ/R_3, 0)</f>
        <v>0</v>
      </c>
      <c r="S146" s="70">
        <f t="shared" si="23"/>
        <v>0</v>
      </c>
      <c r="T146" s="71">
        <f t="shared" si="24"/>
        <v>0</v>
      </c>
      <c r="U146" s="72">
        <f t="shared" si="25"/>
        <v>-0.70257480025538122</v>
      </c>
      <c r="V146"/>
      <c r="W146"/>
      <c r="X146"/>
      <c r="Y146"/>
      <c r="Z146"/>
      <c r="AA146"/>
      <c r="AB146"/>
      <c r="AC146"/>
      <c r="AD146"/>
      <c r="AE146"/>
    </row>
    <row r="147" spans="10:31" x14ac:dyDescent="0.25">
      <c r="J147" s="4"/>
      <c r="K147" s="27">
        <f t="shared" si="26"/>
        <v>0.22142857142857089</v>
      </c>
      <c r="L147" s="28">
        <f t="shared" si="0"/>
        <v>1.4694631307310879E-3</v>
      </c>
      <c r="M147" s="29">
        <f t="shared" si="6"/>
        <v>0.17791212923104016</v>
      </c>
      <c r="N147" s="15">
        <f t="shared" si="21"/>
        <v>-11.370367509324842</v>
      </c>
      <c r="O147" s="29">
        <f t="shared" si="1"/>
        <v>17.791212923104016</v>
      </c>
      <c r="P147" s="15">
        <f t="shared" si="22"/>
        <v>20.184579525190586</v>
      </c>
      <c r="Q147" s="15">
        <f>IF(AND(AND(AND(t-MOD(t,T_1)&gt;0,t &gt;t-MOD(t,T_1)),  AND(t-MOD(t,T_1)&gt;0,t &lt;=t-MOD(t,T_1)+T_1)), ω2dec &gt;= ω3),  ω2dec,  ω3  )</f>
        <v>20.184579525190586</v>
      </c>
      <c r="R147" s="15">
        <f>IF(   AND(   MOD(t,T_1)&gt;=3*T_1/4,   MOD(t,T_1)&lt;=T_1 ),  ϒ/R_3, 0)</f>
        <v>0</v>
      </c>
      <c r="S147" s="70">
        <f t="shared" si="23"/>
        <v>0</v>
      </c>
      <c r="T147" s="71">
        <f t="shared" si="24"/>
        <v>0</v>
      </c>
      <c r="U147" s="72">
        <f t="shared" si="25"/>
        <v>-0.9096294007459873</v>
      </c>
      <c r="V147"/>
      <c r="W147"/>
      <c r="X147"/>
      <c r="Y147"/>
      <c r="Z147"/>
      <c r="AA147"/>
      <c r="AB147"/>
      <c r="AC147"/>
      <c r="AD147"/>
      <c r="AE147"/>
    </row>
    <row r="148" spans="10:31" x14ac:dyDescent="0.25">
      <c r="J148" s="4"/>
      <c r="K148" s="27">
        <f t="shared" si="26"/>
        <v>0.22321428571428517</v>
      </c>
      <c r="L148" s="28">
        <f t="shared" si="0"/>
        <v>1.7677669529662812E-3</v>
      </c>
      <c r="M148" s="29">
        <f t="shared" si="6"/>
        <v>0.15550090283555054</v>
      </c>
      <c r="N148" s="15">
        <f t="shared" si="21"/>
        <v>-13.678573831291526</v>
      </c>
      <c r="O148" s="29">
        <f t="shared" si="1"/>
        <v>15.550090283555054</v>
      </c>
      <c r="P148" s="15">
        <f t="shared" si="22"/>
        <v>19.672391928769727</v>
      </c>
      <c r="Q148" s="15">
        <f>IF(AND(AND(AND(t-MOD(t,T_1)&gt;0,t &gt;t-MOD(t,T_1)),  AND(t-MOD(t,T_1)&gt;0,t &lt;=t-MOD(t,T_1)+T_1)), ω2dec &gt;= ω3),  ω2dec,  ω3  )</f>
        <v>19.672391928769727</v>
      </c>
      <c r="R148" s="15">
        <f>IF(   AND(   MOD(t,T_1)&gt;=3*T_1/4,   MOD(t,T_1)&lt;=T_1 ),  ϒ/R_3, 0)</f>
        <v>0</v>
      </c>
      <c r="S148" s="70">
        <f t="shared" si="23"/>
        <v>0</v>
      </c>
      <c r="T148" s="71">
        <f t="shared" si="24"/>
        <v>0</v>
      </c>
      <c r="U148" s="72">
        <f t="shared" si="25"/>
        <v>-1.0942859065033221</v>
      </c>
      <c r="V148"/>
      <c r="W148"/>
      <c r="X148"/>
      <c r="Y148"/>
      <c r="Z148"/>
      <c r="AA148"/>
      <c r="AB148"/>
      <c r="AC148"/>
      <c r="AD148"/>
      <c r="AE148"/>
    </row>
    <row r="149" spans="10:31" x14ac:dyDescent="0.25">
      <c r="J149" s="4"/>
      <c r="K149" s="27">
        <f t="shared" si="26"/>
        <v>0.22499999999999945</v>
      </c>
      <c r="L149" s="28">
        <f t="shared" si="0"/>
        <v>2.0225424859372969E-3</v>
      </c>
      <c r="M149" s="29">
        <f t="shared" si="6"/>
        <v>0.12926072813434064</v>
      </c>
      <c r="N149" s="15">
        <f t="shared" si="21"/>
        <v>-15.649968268948017</v>
      </c>
      <c r="O149" s="29">
        <f t="shared" si="1"/>
        <v>12.926072813434065</v>
      </c>
      <c r="P149" s="15">
        <f t="shared" si="22"/>
        <v>19.160204332348872</v>
      </c>
      <c r="Q149" s="15">
        <f>IF(AND(AND(AND(t-MOD(t,T_1)&gt;0,t &gt;t-MOD(t,T_1)),  AND(t-MOD(t,T_1)&gt;0,t &lt;=t-MOD(t,T_1)+T_1)), ω2dec &gt;= ω3),  ω2dec,  ω3  )</f>
        <v>19.160204332348872</v>
      </c>
      <c r="R149" s="15">
        <f>IF(   AND(   MOD(t,T_1)&gt;=3*T_1/4,   MOD(t,T_1)&lt;=T_1 ),  ϒ/R_3, 0)</f>
        <v>0</v>
      </c>
      <c r="S149" s="70">
        <f t="shared" si="23"/>
        <v>0</v>
      </c>
      <c r="T149" s="71">
        <f t="shared" si="24"/>
        <v>0</v>
      </c>
      <c r="U149" s="72">
        <f t="shared" si="25"/>
        <v>-1.2519974615158413</v>
      </c>
      <c r="V149"/>
      <c r="W149"/>
      <c r="X149"/>
      <c r="Y149"/>
      <c r="Z149"/>
      <c r="AA149"/>
      <c r="AB149"/>
      <c r="AC149"/>
      <c r="AD149"/>
      <c r="AE149"/>
    </row>
    <row r="150" spans="10:31" x14ac:dyDescent="0.25">
      <c r="K150" s="33"/>
      <c r="L150" s="33"/>
      <c r="M150" s="33"/>
      <c r="N150" s="33"/>
      <c r="O150" s="33"/>
      <c r="P150" s="34"/>
      <c r="Q150" s="34"/>
      <c r="R150" s="61"/>
      <c r="S150" s="62"/>
      <c r="T150" s="62"/>
      <c r="U150" s="62"/>
      <c r="V150"/>
      <c r="W150"/>
      <c r="X150"/>
      <c r="Y150"/>
      <c r="Z150"/>
      <c r="AA150"/>
      <c r="AB150"/>
      <c r="AC150"/>
      <c r="AD150"/>
      <c r="AE150"/>
    </row>
    <row r="151" spans="10:31" x14ac:dyDescent="0.25">
      <c r="O151" s="19"/>
      <c r="Q151" s="10"/>
      <c r="R151" s="35"/>
      <c r="V151"/>
      <c r="W151"/>
      <c r="X151"/>
      <c r="Y151"/>
      <c r="Z151"/>
      <c r="AA151"/>
      <c r="AB151"/>
      <c r="AC151"/>
      <c r="AD151"/>
      <c r="AE151"/>
    </row>
    <row r="152" spans="10:31" x14ac:dyDescent="0.25">
      <c r="O152" s="19"/>
      <c r="Q152" s="12"/>
      <c r="R152" s="36"/>
      <c r="V152"/>
      <c r="W152"/>
      <c r="X152"/>
      <c r="Y152"/>
      <c r="Z152"/>
      <c r="AA152"/>
      <c r="AB152"/>
      <c r="AC152"/>
      <c r="AD152"/>
      <c r="AE152"/>
    </row>
    <row r="153" spans="10:31" x14ac:dyDescent="0.25">
      <c r="Q153" s="11"/>
      <c r="R153" s="37"/>
      <c r="V153"/>
      <c r="W153"/>
      <c r="X153"/>
      <c r="Y153"/>
      <c r="Z153"/>
      <c r="AA153"/>
      <c r="AB153"/>
      <c r="AC153"/>
      <c r="AD153"/>
      <c r="AE153"/>
    </row>
    <row r="154" spans="10:31" x14ac:dyDescent="0.25">
      <c r="Q154" s="11"/>
      <c r="R154" s="38"/>
      <c r="S154" s="38"/>
      <c r="V154"/>
      <c r="W154"/>
      <c r="X154"/>
      <c r="Y154"/>
      <c r="Z154"/>
      <c r="AA154"/>
      <c r="AB154"/>
      <c r="AC154"/>
      <c r="AD154"/>
      <c r="AE154"/>
    </row>
    <row r="155" spans="10:31" x14ac:dyDescent="0.25">
      <c r="R155" s="38"/>
      <c r="V155"/>
      <c r="W155"/>
      <c r="X155"/>
      <c r="Y155"/>
      <c r="Z155"/>
      <c r="AA155"/>
      <c r="AB155"/>
      <c r="AC155"/>
      <c r="AD155"/>
      <c r="AE155"/>
    </row>
    <row r="156" spans="10:31" x14ac:dyDescent="0.25">
      <c r="V156"/>
      <c r="W156"/>
      <c r="X156"/>
      <c r="Y156"/>
      <c r="Z156"/>
      <c r="AA156"/>
      <c r="AB156"/>
      <c r="AC156"/>
      <c r="AD156"/>
      <c r="AE156"/>
    </row>
    <row r="157" spans="10:31" x14ac:dyDescent="0.25">
      <c r="V157"/>
      <c r="W157"/>
      <c r="X157"/>
      <c r="Y157"/>
      <c r="Z157"/>
      <c r="AA157"/>
      <c r="AB157"/>
      <c r="AC157"/>
      <c r="AD157"/>
      <c r="AE157"/>
    </row>
    <row r="158" spans="10:31" x14ac:dyDescent="0.25">
      <c r="V158"/>
      <c r="W158"/>
      <c r="X158"/>
      <c r="Y158"/>
      <c r="Z158"/>
      <c r="AA158"/>
      <c r="AB158"/>
      <c r="AC158"/>
      <c r="AD158"/>
      <c r="AE158"/>
    </row>
    <row r="159" spans="10:31" x14ac:dyDescent="0.25">
      <c r="V159"/>
      <c r="W159"/>
      <c r="X159"/>
      <c r="Y159"/>
      <c r="Z159"/>
      <c r="AA159"/>
      <c r="AB159"/>
      <c r="AC159"/>
      <c r="AD159"/>
      <c r="AE159"/>
    </row>
    <row r="160" spans="10:31" x14ac:dyDescent="0.25">
      <c r="V160"/>
      <c r="W160"/>
      <c r="X160"/>
      <c r="Y160"/>
      <c r="Z160"/>
      <c r="AA160"/>
      <c r="AB160"/>
      <c r="AC160"/>
      <c r="AD160"/>
      <c r="AE160"/>
    </row>
    <row r="161" spans="22:31" x14ac:dyDescent="0.25">
      <c r="V161"/>
      <c r="W161"/>
      <c r="X161"/>
      <c r="Y161"/>
      <c r="Z161"/>
      <c r="AA161"/>
      <c r="AB161"/>
      <c r="AC161"/>
      <c r="AD161"/>
      <c r="AE161"/>
    </row>
    <row r="162" spans="22:31" x14ac:dyDescent="0.25">
      <c r="V162"/>
      <c r="W162"/>
      <c r="X162"/>
      <c r="Y162"/>
      <c r="Z162"/>
      <c r="AA162"/>
      <c r="AB162"/>
      <c r="AC162"/>
      <c r="AD162"/>
      <c r="AE162"/>
    </row>
    <row r="163" spans="22:31" x14ac:dyDescent="0.25">
      <c r="V163"/>
      <c r="W163"/>
      <c r="X163"/>
      <c r="Y163"/>
      <c r="Z163"/>
      <c r="AA163"/>
      <c r="AB163"/>
      <c r="AC163"/>
      <c r="AD163"/>
      <c r="AE163"/>
    </row>
    <row r="164" spans="22:31" x14ac:dyDescent="0.25">
      <c r="V164"/>
      <c r="W164"/>
      <c r="X164"/>
      <c r="Y164"/>
      <c r="Z164"/>
      <c r="AA164"/>
      <c r="AB164"/>
      <c r="AC164"/>
      <c r="AD164"/>
      <c r="AE164"/>
    </row>
    <row r="165" spans="22:31" x14ac:dyDescent="0.25">
      <c r="V165"/>
      <c r="W165"/>
      <c r="X165"/>
      <c r="Y165"/>
      <c r="Z165"/>
      <c r="AA165"/>
      <c r="AB165"/>
      <c r="AC165"/>
      <c r="AD165"/>
      <c r="AE165"/>
    </row>
    <row r="166" spans="22:31" x14ac:dyDescent="0.25">
      <c r="V166"/>
      <c r="W166"/>
      <c r="X166"/>
      <c r="Y166"/>
      <c r="Z166"/>
      <c r="AA166"/>
      <c r="AB166"/>
      <c r="AC166"/>
      <c r="AD166"/>
      <c r="AE166"/>
    </row>
    <row r="167" spans="22:31" x14ac:dyDescent="0.25">
      <c r="V167"/>
      <c r="W167"/>
      <c r="X167"/>
      <c r="Y167"/>
      <c r="Z167"/>
      <c r="AA167"/>
      <c r="AB167"/>
      <c r="AC167"/>
      <c r="AD167"/>
      <c r="AE167"/>
    </row>
  </sheetData>
  <sheetProtection sheet="1" objects="1" scenarios="1"/>
  <mergeCells count="18">
    <mergeCell ref="B68:D71"/>
    <mergeCell ref="O19:Q19"/>
    <mergeCell ref="E67:G68"/>
    <mergeCell ref="P20:Q20"/>
    <mergeCell ref="K19:K20"/>
    <mergeCell ref="L19:N19"/>
    <mergeCell ref="R9:R10"/>
    <mergeCell ref="S9:S10"/>
    <mergeCell ref="T9:T10"/>
    <mergeCell ref="R19:S19"/>
    <mergeCell ref="T19:U19"/>
    <mergeCell ref="U9:U10"/>
    <mergeCell ref="I3:J6"/>
    <mergeCell ref="L15:N18"/>
    <mergeCell ref="O14:Q16"/>
    <mergeCell ref="K2:M2"/>
    <mergeCell ref="N2:P2"/>
    <mergeCell ref="Q2:U2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5" r:id="rId3" name="ScrollBar1">
          <controlPr defaultSize="0" autoLine="0" linkedCell="F69" r:id="rId4">
            <anchor moveWithCells="1">
              <from>
                <xdr:col>4</xdr:col>
                <xdr:colOff>123825</xdr:colOff>
                <xdr:row>67</xdr:row>
                <xdr:rowOff>171450</xdr:rowOff>
              </from>
              <to>
                <xdr:col>6</xdr:col>
                <xdr:colOff>657225</xdr:colOff>
                <xdr:row>69</xdr:row>
                <xdr:rowOff>38100</xdr:rowOff>
              </to>
            </anchor>
          </controlPr>
        </control>
      </mc:Choice>
      <mc:Fallback>
        <control shapeId="1025" r:id="rId3" name="ScrollBar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showGridLines="0" zoomScale="80" zoomScaleNormal="80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30</vt:i4>
      </vt:variant>
    </vt:vector>
  </HeadingPairs>
  <TitlesOfParts>
    <vt:vector size="32" baseType="lpstr">
      <vt:lpstr>Calculs</vt:lpstr>
      <vt:lpstr>Calculs manuels</vt:lpstr>
      <vt:lpstr>A</vt:lpstr>
      <vt:lpstr>Accel2</vt:lpstr>
      <vt:lpstr>C_</vt:lpstr>
      <vt:lpstr>C_2</vt:lpstr>
      <vt:lpstr>Cg</vt:lpstr>
      <vt:lpstr>f</vt:lpstr>
      <vt:lpstr>Fd</vt:lpstr>
      <vt:lpstr>J_1</vt:lpstr>
      <vt:lpstr>J_2</vt:lpstr>
      <vt:lpstr>J_3</vt:lpstr>
      <vt:lpstr>Je</vt:lpstr>
      <vt:lpstr>Jg</vt:lpstr>
      <vt:lpstr>Jv</vt:lpstr>
      <vt:lpstr>K</vt:lpstr>
      <vt:lpstr>M</vt:lpstr>
      <vt:lpstr>Pente</vt:lpstr>
      <vt:lpstr>R_1</vt:lpstr>
      <vt:lpstr>R_2</vt:lpstr>
      <vt:lpstr>R_3</vt:lpstr>
      <vt:lpstr>t</vt:lpstr>
      <vt:lpstr>T_1</vt:lpstr>
      <vt:lpstr>t_tan</vt:lpstr>
      <vt:lpstr>V</vt:lpstr>
      <vt:lpstr>X</vt:lpstr>
      <vt:lpstr>ϒ</vt:lpstr>
      <vt:lpstr>ω</vt:lpstr>
      <vt:lpstr>ω2</vt:lpstr>
      <vt:lpstr>ω2dec</vt:lpstr>
      <vt:lpstr>ω3</vt:lpstr>
      <vt:lpstr>ω3_tan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rené2</dc:creator>
  <cp:lastModifiedBy>rené2</cp:lastModifiedBy>
  <dcterms:created xsi:type="dcterms:W3CDTF">2015-10-29T09:23:38Z</dcterms:created>
  <dcterms:modified xsi:type="dcterms:W3CDTF">2015-11-03T09:03:24Z</dcterms:modified>
</cp:coreProperties>
</file>