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" sheetId="1" r:id="rId1"/>
  </sheets>
  <definedNames>
    <definedName name="Cm">Calculs!$Q$6</definedName>
    <definedName name="Cm_1">Calculs!$E$8</definedName>
    <definedName name="Cr">Calculs!$Q$13</definedName>
    <definedName name="DA">Calculs!$B$8</definedName>
    <definedName name="DC">Calculs!$C$8</definedName>
    <definedName name="Ra">Calculs!$S$18</definedName>
    <definedName name="Xa">Calculs!$G$8</definedName>
    <definedName name="Xc">Calculs!$Y$6</definedName>
    <definedName name="Ya">Calculs!$G$9</definedName>
    <definedName name="Yc">Calculs!$Y$7</definedName>
    <definedName name="α">Calculs!$B$22:$B$58</definedName>
    <definedName name="αdeg">Calculs!$D$8</definedName>
    <definedName name="αrad">Calculs!$S$6</definedName>
    <definedName name="αrad_t">Calculs!$C$22:$C$58</definedName>
    <definedName name="β">Calculs!$V$6</definedName>
    <definedName name="β_t">Calculs!$F$22:$F$58</definedName>
    <definedName name="β1">Calculs!$W$6</definedName>
    <definedName name="β1_t">Calculs!$G$22:$G$58</definedName>
    <definedName name="δ">Calculs!$U$6</definedName>
    <definedName name="δ_t">Calculs!$E$22:$E$58</definedName>
    <definedName name="μ">Calculs!$T$6</definedName>
    <definedName name="μ_t">Calculs!$D$22:$D$58</definedName>
  </definedNames>
  <calcPr calcId="145621"/>
</workbook>
</file>

<file path=xl/calcChain.xml><?xml version="1.0" encoding="utf-8"?>
<calcChain xmlns="http://schemas.openxmlformats.org/spreadsheetml/2006/main">
  <c r="Q6" i="1" l="1"/>
  <c r="C23" i="1" l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22" i="1"/>
  <c r="D22" i="1" s="1"/>
  <c r="G8" i="1" l="1"/>
  <c r="S6" i="1"/>
  <c r="T6" i="1" s="1"/>
  <c r="G9" i="1"/>
  <c r="E24" i="1" l="1"/>
  <c r="F24" i="1" s="1"/>
  <c r="G24" i="1" s="1"/>
  <c r="E49" i="1"/>
  <c r="F49" i="1" s="1"/>
  <c r="G49" i="1" s="1"/>
  <c r="E53" i="1"/>
  <c r="F53" i="1" s="1"/>
  <c r="G53" i="1" s="1"/>
  <c r="E25" i="1"/>
  <c r="F25" i="1" s="1"/>
  <c r="G25" i="1" s="1"/>
  <c r="E29" i="1"/>
  <c r="F29" i="1" s="1"/>
  <c r="G29" i="1" s="1"/>
  <c r="E35" i="1"/>
  <c r="F35" i="1" s="1"/>
  <c r="G35" i="1" s="1"/>
  <c r="E39" i="1"/>
  <c r="F39" i="1" s="1"/>
  <c r="G39" i="1" s="1"/>
  <c r="E44" i="1"/>
  <c r="F44" i="1" s="1"/>
  <c r="G44" i="1" s="1"/>
  <c r="E50" i="1"/>
  <c r="F50" i="1" s="1"/>
  <c r="G50" i="1" s="1"/>
  <c r="E54" i="1"/>
  <c r="F54" i="1" s="1"/>
  <c r="G54" i="1" s="1"/>
  <c r="E26" i="1"/>
  <c r="F26" i="1" s="1"/>
  <c r="G26" i="1" s="1"/>
  <c r="E30" i="1"/>
  <c r="F30" i="1" s="1"/>
  <c r="G30" i="1" s="1"/>
  <c r="E40" i="1"/>
  <c r="F40" i="1" s="1"/>
  <c r="G40" i="1" s="1"/>
  <c r="E22" i="1"/>
  <c r="F22" i="1" s="1"/>
  <c r="G22" i="1" s="1"/>
  <c r="E41" i="1"/>
  <c r="F41" i="1" s="1"/>
  <c r="G41" i="1" s="1"/>
  <c r="E45" i="1"/>
  <c r="F45" i="1" s="1"/>
  <c r="G45" i="1" s="1"/>
  <c r="E51" i="1"/>
  <c r="F51" i="1" s="1"/>
  <c r="G51" i="1" s="1"/>
  <c r="E55" i="1"/>
  <c r="F55" i="1" s="1"/>
  <c r="G55" i="1" s="1"/>
  <c r="E27" i="1"/>
  <c r="F27" i="1" s="1"/>
  <c r="G27" i="1" s="1"/>
  <c r="E31" i="1"/>
  <c r="F31" i="1" s="1"/>
  <c r="G31" i="1" s="1"/>
  <c r="E36" i="1"/>
  <c r="F36" i="1" s="1"/>
  <c r="G36" i="1" s="1"/>
  <c r="E42" i="1"/>
  <c r="F42" i="1" s="1"/>
  <c r="G42" i="1" s="1"/>
  <c r="E46" i="1"/>
  <c r="F46" i="1" s="1"/>
  <c r="G46" i="1" s="1"/>
  <c r="E56" i="1"/>
  <c r="F56" i="1" s="1"/>
  <c r="G56" i="1" s="1"/>
  <c r="E32" i="1"/>
  <c r="F32" i="1" s="1"/>
  <c r="G32" i="1" s="1"/>
  <c r="E57" i="1"/>
  <c r="F57" i="1" s="1"/>
  <c r="G57" i="1" s="1"/>
  <c r="E33" i="1"/>
  <c r="F33" i="1" s="1"/>
  <c r="G33" i="1" s="1"/>
  <c r="E37" i="1"/>
  <c r="F37" i="1" s="1"/>
  <c r="G37" i="1" s="1"/>
  <c r="E43" i="1"/>
  <c r="F43" i="1" s="1"/>
  <c r="G43" i="1" s="1"/>
  <c r="E47" i="1"/>
  <c r="F47" i="1" s="1"/>
  <c r="G47" i="1" s="1"/>
  <c r="E52" i="1"/>
  <c r="F52" i="1" s="1"/>
  <c r="G52" i="1" s="1"/>
  <c r="E58" i="1"/>
  <c r="F58" i="1" s="1"/>
  <c r="G58" i="1" s="1"/>
  <c r="E23" i="1"/>
  <c r="E28" i="1"/>
  <c r="F28" i="1" s="1"/>
  <c r="G28" i="1" s="1"/>
  <c r="E34" i="1"/>
  <c r="F34" i="1" s="1"/>
  <c r="G34" i="1" s="1"/>
  <c r="E38" i="1"/>
  <c r="F38" i="1" s="1"/>
  <c r="G38" i="1" s="1"/>
  <c r="E48" i="1"/>
  <c r="F48" i="1" s="1"/>
  <c r="G48" i="1" s="1"/>
  <c r="S7" i="1"/>
  <c r="T7" i="1"/>
  <c r="F23" i="1" l="1"/>
  <c r="G23" i="1" s="1"/>
  <c r="U6" i="1"/>
  <c r="V6" i="1" s="1"/>
  <c r="W6" i="1" l="1"/>
  <c r="V7" i="1"/>
  <c r="U7" i="1"/>
  <c r="Y6" i="1" l="1"/>
  <c r="W7" i="1"/>
  <c r="Y7" i="1"/>
  <c r="H26" i="1" l="1"/>
  <c r="H40" i="1"/>
  <c r="H54" i="1"/>
  <c r="Q13" i="1"/>
  <c r="H35" i="1"/>
  <c r="H57" i="1"/>
  <c r="H32" i="1"/>
  <c r="H46" i="1"/>
  <c r="H52" i="1"/>
  <c r="H27" i="1"/>
  <c r="H49" i="1"/>
  <c r="H24" i="1"/>
  <c r="H38" i="1"/>
  <c r="H44" i="1"/>
  <c r="H58" i="1"/>
  <c r="H41" i="1"/>
  <c r="H55" i="1"/>
  <c r="H30" i="1"/>
  <c r="H36" i="1"/>
  <c r="H50" i="1"/>
  <c r="H33" i="1"/>
  <c r="H47" i="1"/>
  <c r="H53" i="1"/>
  <c r="H28" i="1"/>
  <c r="H42" i="1"/>
  <c r="H25" i="1"/>
  <c r="H39" i="1"/>
  <c r="H45" i="1"/>
  <c r="H22" i="1"/>
  <c r="H34" i="1"/>
  <c r="H56" i="1"/>
  <c r="H31" i="1"/>
  <c r="H37" i="1"/>
  <c r="H51" i="1"/>
  <c r="H48" i="1"/>
  <c r="H23" i="1"/>
  <c r="H29" i="1"/>
  <c r="H43" i="1"/>
  <c r="AA6" i="1"/>
  <c r="D14" i="1"/>
  <c r="S18" i="1"/>
  <c r="T14" i="1" l="1"/>
  <c r="U13" i="1"/>
  <c r="T13" i="1"/>
  <c r="S14" i="1"/>
  <c r="S13" i="1"/>
  <c r="U14" i="1"/>
  <c r="T18" i="1" l="1"/>
  <c r="U18" i="1"/>
</calcChain>
</file>

<file path=xl/sharedStrings.xml><?xml version="1.0" encoding="utf-8"?>
<sst xmlns="http://schemas.openxmlformats.org/spreadsheetml/2006/main" count="72" uniqueCount="31">
  <si>
    <t>α</t>
  </si>
  <si>
    <t>(mm)</t>
  </si>
  <si>
    <t>( ° )</t>
  </si>
  <si>
    <t>DA</t>
  </si>
  <si>
    <t>Cr</t>
  </si>
  <si>
    <t>(N.m)</t>
  </si>
  <si>
    <t>Cm</t>
  </si>
  <si>
    <t>DC</t>
  </si>
  <si>
    <t>Les limites mécaniques du système, en fonction des longueurs, ne sont pas prises en compte ici.</t>
  </si>
  <si>
    <t>Entrez vos valeurs dans les cellules jaunes (attention aux signes)</t>
  </si>
  <si>
    <r>
      <t xml:space="preserve">Résultat pour </t>
    </r>
    <r>
      <rPr>
        <b/>
        <sz val="12"/>
        <color theme="1"/>
        <rFont val="Calibri"/>
        <family val="2"/>
      </rPr>
      <t>α</t>
    </r>
    <r>
      <rPr>
        <b/>
        <sz val="9.9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ci-dessus</t>
    </r>
  </si>
  <si>
    <t>A</t>
  </si>
  <si>
    <t>μ</t>
  </si>
  <si>
    <t>(rad)</t>
  </si>
  <si>
    <t>β</t>
  </si>
  <si>
    <t>δ</t>
  </si>
  <si>
    <t>C</t>
  </si>
  <si>
    <t>β1</t>
  </si>
  <si>
    <t xml:space="preserve">x  </t>
  </si>
  <si>
    <t xml:space="preserve">y  </t>
  </si>
  <si>
    <t>Coord. dans Dxy</t>
  </si>
  <si>
    <t>Calculs intermédiaires</t>
  </si>
  <si>
    <t>Ra</t>
  </si>
  <si>
    <t>(N)</t>
  </si>
  <si>
    <t>Rc</t>
  </si>
  <si>
    <t>Rd</t>
  </si>
  <si>
    <t>CA</t>
  </si>
  <si>
    <t xml:space="preserve">Degrés  </t>
  </si>
  <si>
    <t>(N.mm)</t>
  </si>
  <si>
    <t>Résultats</t>
  </si>
  <si>
    <t>Modules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</si>
</sst>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7" formatCode="0.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b/>
      <sz val="9.9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3" fillId="0" borderId="0" xfId="0" applyFont="1" applyAlignment="1"/>
    <xf numFmtId="0" fontId="2" fillId="0" borderId="0" xfId="0" applyFont="1" applyAlignment="1">
      <alignment horizontal="center"/>
    </xf>
    <xf numFmtId="2" fontId="0" fillId="3" borderId="3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2" fillId="0" borderId="4" xfId="0" applyFont="1" applyBorder="1" applyAlignment="1"/>
    <xf numFmtId="2" fontId="0" fillId="0" borderId="0" xfId="0" applyNumberFormat="1" applyFill="1" applyBorder="1" applyAlignment="1">
      <alignment horizontal="center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2058209664993"/>
          <c:y val="5.7785820276267864E-2"/>
          <c:w val="0.83538978970382116"/>
          <c:h val="0.79799682874733513"/>
        </c:manualLayout>
      </c:layout>
      <c:scatterChart>
        <c:scatterStyle val="lineMarker"/>
        <c:varyColors val="0"/>
        <c:ser>
          <c:idx val="0"/>
          <c:order val="0"/>
          <c:spPr>
            <a:ln w="19050"/>
          </c:spPr>
          <c:marker>
            <c:symbol val="none"/>
          </c:marker>
          <c:xVal>
            <c:numRef>
              <c:f>Calculs!$B$22:$B$58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</c:numCache>
            </c:numRef>
          </c:xVal>
          <c:yVal>
            <c:numRef>
              <c:f>Calculs!$H$22:$H$58</c:f>
              <c:numCache>
                <c:formatCode>0.000</c:formatCode>
                <c:ptCount val="37"/>
                <c:pt idx="0">
                  <c:v>3.2291203455070319</c:v>
                </c:pt>
                <c:pt idx="1">
                  <c:v>3.176804847495089</c:v>
                </c:pt>
                <c:pt idx="2">
                  <c:v>3.1260830766000125</c:v>
                </c:pt>
                <c:pt idx="3">
                  <c:v>3.0770036692924041</c:v>
                </c:pt>
                <c:pt idx="4">
                  <c:v>3.0300156040155404</c:v>
                </c:pt>
                <c:pt idx="5">
                  <c:v>2.9861789860793344</c:v>
                </c:pt>
                <c:pt idx="6">
                  <c:v>2.9473469597487667</c:v>
                </c:pt>
                <c:pt idx="7">
                  <c:v>2.9161733325117289</c:v>
                </c:pt>
                <c:pt idx="8">
                  <c:v>2.8957205149968166</c:v>
                </c:pt>
                <c:pt idx="9">
                  <c:v>2.8885622213359596</c:v>
                </c:pt>
                <c:pt idx="10">
                  <c:v>2.8957205149968166</c:v>
                </c:pt>
                <c:pt idx="11">
                  <c:v>2.9161733325117289</c:v>
                </c:pt>
                <c:pt idx="12">
                  <c:v>2.9473469597487667</c:v>
                </c:pt>
                <c:pt idx="13">
                  <c:v>2.9861789860793344</c:v>
                </c:pt>
                <c:pt idx="14">
                  <c:v>3.0300156040155404</c:v>
                </c:pt>
                <c:pt idx="15">
                  <c:v>3.0770036692924041</c:v>
                </c:pt>
                <c:pt idx="16">
                  <c:v>3.1260830766000125</c:v>
                </c:pt>
                <c:pt idx="17">
                  <c:v>3.176804847495089</c:v>
                </c:pt>
                <c:pt idx="18">
                  <c:v>3.2291203455070319</c:v>
                </c:pt>
                <c:pt idx="19">
                  <c:v>3.2831877530479292</c:v>
                </c:pt>
                <c:pt idx="20">
                  <c:v>3.3391814436638763</c:v>
                </c:pt>
                <c:pt idx="21">
                  <c:v>3.3970595018635241</c:v>
                </c:pt>
                <c:pt idx="22">
                  <c:v>3.4562321137185719</c:v>
                </c:pt>
                <c:pt idx="23">
                  <c:v>3.5150915201772519</c:v>
                </c:pt>
                <c:pt idx="24">
                  <c:v>3.5704653309362957</c:v>
                </c:pt>
                <c:pt idx="25">
                  <c:v>3.6173092475447559</c:v>
                </c:pt>
                <c:pt idx="26">
                  <c:v>3.6492817181280555</c:v>
                </c:pt>
                <c:pt idx="27">
                  <c:v>3.6607143012672041</c:v>
                </c:pt>
                <c:pt idx="28">
                  <c:v>3.6492817181280555</c:v>
                </c:pt>
                <c:pt idx="29">
                  <c:v>3.6173092475447559</c:v>
                </c:pt>
                <c:pt idx="30">
                  <c:v>3.5704653309362957</c:v>
                </c:pt>
                <c:pt idx="31">
                  <c:v>3.5150915201772528</c:v>
                </c:pt>
                <c:pt idx="32">
                  <c:v>3.4562321137185719</c:v>
                </c:pt>
                <c:pt idx="33">
                  <c:v>3.3970595018635241</c:v>
                </c:pt>
                <c:pt idx="34">
                  <c:v>3.3391814436638763</c:v>
                </c:pt>
                <c:pt idx="35">
                  <c:v>3.2831877530479292</c:v>
                </c:pt>
                <c:pt idx="36">
                  <c:v>3.2291203455070319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371904"/>
        <c:axId val="293373824"/>
      </c:scatterChart>
      <c:valAx>
        <c:axId val="29337190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Angle </a:t>
                </a:r>
                <a:r>
                  <a:rPr lang="el-GR"/>
                  <a:t>α</a:t>
                </a:r>
                <a:r>
                  <a:rPr lang="fr-FR"/>
                  <a:t> ( ° )</a:t>
                </a:r>
              </a:p>
            </c:rich>
          </c:tx>
          <c:layout>
            <c:manualLayout>
              <c:xMode val="edge"/>
              <c:yMode val="edge"/>
              <c:x val="0.43555420768562875"/>
              <c:y val="0.9264076592698640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93373824"/>
        <c:crosses val="autoZero"/>
        <c:crossBetween val="midCat"/>
      </c:valAx>
      <c:valAx>
        <c:axId val="2933738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Couple Cr (N.m)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293371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482600</xdr:colOff>
      <xdr:row>21</xdr:row>
      <xdr:rowOff>9736</xdr:rowOff>
    </xdr:from>
    <xdr:to>
      <xdr:col>14</xdr:col>
      <xdr:colOff>303952</xdr:colOff>
      <xdr:row>37</xdr:row>
      <xdr:rowOff>16933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778922</xdr:colOff>
      <xdr:row>1</xdr:row>
      <xdr:rowOff>16932</xdr:rowOff>
    </xdr:from>
    <xdr:to>
      <xdr:col>12</xdr:col>
      <xdr:colOff>771312</xdr:colOff>
      <xdr:row>18</xdr:row>
      <xdr:rowOff>66333</xdr:rowOff>
    </xdr:to>
    <xdr:grpSp>
      <xdr:nvGrpSpPr>
        <xdr:cNvPr id="71" name="Groupe 70"/>
        <xdr:cNvGrpSpPr/>
      </xdr:nvGrpSpPr>
      <xdr:grpSpPr>
        <a:xfrm>
          <a:off x="5096922" y="203199"/>
          <a:ext cx="4809923" cy="3309067"/>
          <a:chOff x="3293523" y="203199"/>
          <a:chExt cx="4809923" cy="3309067"/>
        </a:xfrm>
      </xdr:grpSpPr>
      <xdr:sp macro="" textlink="">
        <xdr:nvSpPr>
          <xdr:cNvPr id="7" name="Ellipse 6"/>
          <xdr:cNvSpPr/>
        </xdr:nvSpPr>
        <xdr:spPr>
          <a:xfrm>
            <a:off x="4134273" y="2383366"/>
            <a:ext cx="259080" cy="265853"/>
          </a:xfrm>
          <a:prstGeom prst="ellipse">
            <a:avLst/>
          </a:prstGeom>
          <a:solidFill>
            <a:schemeClr val="bg1"/>
          </a:solidFill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5" name="Connecteur droit 4"/>
          <xdr:cNvCxnSpPr>
            <a:endCxn id="21" idx="0"/>
          </xdr:cNvCxnSpPr>
        </xdr:nvCxnSpPr>
        <xdr:spPr>
          <a:xfrm flipH="1">
            <a:off x="5558366" y="910166"/>
            <a:ext cx="1009229" cy="1323340"/>
          </a:xfrm>
          <a:prstGeom prst="line">
            <a:avLst/>
          </a:prstGeom>
          <a:ln w="127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" name="Groupe 9"/>
          <xdr:cNvGrpSpPr/>
        </xdr:nvGrpSpPr>
        <xdr:grpSpPr>
          <a:xfrm rot="19486772">
            <a:off x="4119033" y="2436706"/>
            <a:ext cx="304800" cy="155786"/>
            <a:chOff x="4770120" y="2270760"/>
            <a:chExt cx="304800" cy="152400"/>
          </a:xfrm>
        </xdr:grpSpPr>
        <xdr:sp macro="" textlink="">
          <xdr:nvSpPr>
            <xdr:cNvPr id="8" name="Rectangle 7"/>
            <xdr:cNvSpPr/>
          </xdr:nvSpPr>
          <xdr:spPr>
            <a:xfrm>
              <a:off x="4770120" y="2270760"/>
              <a:ext cx="304800" cy="152400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952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9" name="Rectangle 8"/>
            <xdr:cNvSpPr/>
          </xdr:nvSpPr>
          <xdr:spPr>
            <a:xfrm>
              <a:off x="4770120" y="2324100"/>
              <a:ext cx="304800" cy="45720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cxnSp macro="">
        <xdr:nvCxnSpPr>
          <xdr:cNvPr id="4" name="Connecteur droit 3"/>
          <xdr:cNvCxnSpPr/>
        </xdr:nvCxnSpPr>
        <xdr:spPr>
          <a:xfrm flipH="1">
            <a:off x="4042833" y="917786"/>
            <a:ext cx="2524760" cy="1761913"/>
          </a:xfrm>
          <a:prstGeom prst="line">
            <a:avLst/>
          </a:prstGeom>
          <a:ln w="127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Connecteur droit 11"/>
          <xdr:cNvCxnSpPr/>
        </xdr:nvCxnSpPr>
        <xdr:spPr>
          <a:xfrm>
            <a:off x="4271433" y="2641599"/>
            <a:ext cx="0" cy="152400"/>
          </a:xfrm>
          <a:prstGeom prst="line">
            <a:avLst/>
          </a:prstGeom>
          <a:ln w="1905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Connecteur droit 12"/>
          <xdr:cNvCxnSpPr/>
        </xdr:nvCxnSpPr>
        <xdr:spPr>
          <a:xfrm rot="5400000">
            <a:off x="4279053" y="2725419"/>
            <a:ext cx="0" cy="152400"/>
          </a:xfrm>
          <a:prstGeom prst="line">
            <a:avLst/>
          </a:prstGeom>
          <a:ln w="381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Connecteur droit 13"/>
          <xdr:cNvCxnSpPr/>
        </xdr:nvCxnSpPr>
        <xdr:spPr>
          <a:xfrm>
            <a:off x="5550746" y="2210646"/>
            <a:ext cx="0" cy="155786"/>
          </a:xfrm>
          <a:prstGeom prst="line">
            <a:avLst/>
          </a:prstGeom>
          <a:ln w="1905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Connecteur droit 14"/>
          <xdr:cNvCxnSpPr/>
        </xdr:nvCxnSpPr>
        <xdr:spPr>
          <a:xfrm rot="5400000">
            <a:off x="5558366" y="2297852"/>
            <a:ext cx="0" cy="152400"/>
          </a:xfrm>
          <a:prstGeom prst="line">
            <a:avLst/>
          </a:prstGeom>
          <a:ln w="38100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Ellipse 15"/>
          <xdr:cNvSpPr/>
        </xdr:nvSpPr>
        <xdr:spPr>
          <a:xfrm flipV="1">
            <a:off x="4233333" y="2501052"/>
            <a:ext cx="60960" cy="60960"/>
          </a:xfrm>
          <a:prstGeom prst="ellipse">
            <a:avLst/>
          </a:prstGeom>
          <a:solidFill>
            <a:schemeClr val="bg1"/>
          </a:solidFill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" name="Ellipse 16"/>
          <xdr:cNvSpPr/>
        </xdr:nvSpPr>
        <xdr:spPr>
          <a:xfrm flipV="1">
            <a:off x="6521873" y="902546"/>
            <a:ext cx="60960" cy="60960"/>
          </a:xfrm>
          <a:prstGeom prst="ellipse">
            <a:avLst/>
          </a:prstGeom>
          <a:solidFill>
            <a:schemeClr val="bg1"/>
          </a:solidFill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ZoneTexte 17"/>
          <xdr:cNvSpPr txBox="1"/>
        </xdr:nvSpPr>
        <xdr:spPr>
          <a:xfrm>
            <a:off x="5312833" y="1986279"/>
            <a:ext cx="331046" cy="2743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D</a:t>
            </a:r>
          </a:p>
        </xdr:txBody>
      </xdr:sp>
      <xdr:sp macro="" textlink="">
        <xdr:nvSpPr>
          <xdr:cNvPr id="19" name="ZoneTexte 18"/>
          <xdr:cNvSpPr txBox="1"/>
        </xdr:nvSpPr>
        <xdr:spPr>
          <a:xfrm>
            <a:off x="3856566" y="2299546"/>
            <a:ext cx="327660" cy="27432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20" name="ZoneTexte 19"/>
          <xdr:cNvSpPr txBox="1"/>
        </xdr:nvSpPr>
        <xdr:spPr>
          <a:xfrm>
            <a:off x="6229773" y="726439"/>
            <a:ext cx="327660" cy="26585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C</a:t>
            </a:r>
          </a:p>
        </xdr:txBody>
      </xdr:sp>
      <xdr:sp macro="" textlink="">
        <xdr:nvSpPr>
          <xdr:cNvPr id="21" name="Ellipse 20"/>
          <xdr:cNvSpPr/>
        </xdr:nvSpPr>
        <xdr:spPr>
          <a:xfrm flipV="1">
            <a:off x="5527886" y="2172546"/>
            <a:ext cx="60960" cy="60960"/>
          </a:xfrm>
          <a:prstGeom prst="ellipse">
            <a:avLst/>
          </a:prstGeom>
          <a:solidFill>
            <a:schemeClr val="bg1"/>
          </a:solidFill>
          <a:ln w="127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25" name="Connecteur droit 24"/>
          <xdr:cNvCxnSpPr/>
        </xdr:nvCxnSpPr>
        <xdr:spPr>
          <a:xfrm flipV="1">
            <a:off x="6552353" y="374457"/>
            <a:ext cx="411480" cy="543329"/>
          </a:xfrm>
          <a:prstGeom prst="line">
            <a:avLst/>
          </a:prstGeom>
          <a:ln w="9525"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Arc 27"/>
          <xdr:cNvSpPr/>
        </xdr:nvSpPr>
        <xdr:spPr>
          <a:xfrm>
            <a:off x="5977466" y="366606"/>
            <a:ext cx="1119294" cy="1126066"/>
          </a:xfrm>
          <a:prstGeom prst="arc">
            <a:avLst>
              <a:gd name="adj1" fmla="val 18369491"/>
              <a:gd name="adj2" fmla="val 19540478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9" name="ZoneTexte 28"/>
          <xdr:cNvSpPr txBox="1"/>
        </xdr:nvSpPr>
        <xdr:spPr>
          <a:xfrm>
            <a:off x="6880013" y="313266"/>
            <a:ext cx="331047" cy="2624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l-GR" sz="1200"/>
              <a:t>α</a:t>
            </a:r>
            <a:endParaRPr lang="fr-FR" sz="1200"/>
          </a:p>
        </xdr:txBody>
      </xdr:sp>
      <xdr:cxnSp macro="">
        <xdr:nvCxnSpPr>
          <xdr:cNvPr id="22" name="Connecteur droit 21"/>
          <xdr:cNvCxnSpPr/>
        </xdr:nvCxnSpPr>
        <xdr:spPr>
          <a:xfrm flipH="1">
            <a:off x="6430794" y="516466"/>
            <a:ext cx="697400" cy="499534"/>
          </a:xfrm>
          <a:prstGeom prst="line">
            <a:avLst/>
          </a:prstGeom>
          <a:ln w="9525"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ZoneTexte 31"/>
          <xdr:cNvSpPr txBox="1"/>
        </xdr:nvSpPr>
        <xdr:spPr>
          <a:xfrm>
            <a:off x="6697133" y="1943947"/>
            <a:ext cx="327660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33" name="ZoneTexte 32"/>
          <xdr:cNvSpPr txBox="1"/>
        </xdr:nvSpPr>
        <xdr:spPr>
          <a:xfrm>
            <a:off x="5855546" y="203199"/>
            <a:ext cx="228600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y</a:t>
            </a:r>
          </a:p>
        </xdr:txBody>
      </xdr:sp>
      <xdr:sp macro="" textlink="">
        <xdr:nvSpPr>
          <xdr:cNvPr id="34" name="Arc 33"/>
          <xdr:cNvSpPr/>
        </xdr:nvSpPr>
        <xdr:spPr>
          <a:xfrm>
            <a:off x="6331373" y="763648"/>
            <a:ext cx="408094" cy="411568"/>
          </a:xfrm>
          <a:prstGeom prst="arc">
            <a:avLst>
              <a:gd name="adj1" fmla="val 21506003"/>
              <a:gd name="adj2" fmla="val 6486392"/>
            </a:avLst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Arc 34"/>
          <xdr:cNvSpPr/>
        </xdr:nvSpPr>
        <xdr:spPr>
          <a:xfrm>
            <a:off x="5143500" y="1867750"/>
            <a:ext cx="715433" cy="697654"/>
          </a:xfrm>
          <a:prstGeom prst="arc">
            <a:avLst>
              <a:gd name="adj1" fmla="val 1043110"/>
              <a:gd name="adj2" fmla="val 3688278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ZoneTexte 35"/>
          <xdr:cNvSpPr txBox="1"/>
        </xdr:nvSpPr>
        <xdr:spPr>
          <a:xfrm>
            <a:off x="6587066" y="1041398"/>
            <a:ext cx="1516380" cy="5503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C m = moment de 2/3</a:t>
            </a:r>
            <a:r>
              <a:rPr lang="fr-FR" sz="1100" baseline="0"/>
              <a:t> (qui tend à diminuer </a:t>
            </a:r>
            <a:r>
              <a:rPr lang="el-GR" sz="1100" baseline="0"/>
              <a:t>α</a:t>
            </a:r>
            <a:r>
              <a:rPr lang="fr-FR" sz="1100" baseline="0"/>
              <a:t>)</a:t>
            </a:r>
            <a:endParaRPr lang="fr-FR" sz="1100"/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5762413" y="2313093"/>
            <a:ext cx="567267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Cr = ?</a:t>
            </a:r>
          </a:p>
        </xdr:txBody>
      </xdr:sp>
      <xdr:cxnSp macro="">
        <xdr:nvCxnSpPr>
          <xdr:cNvPr id="38" name="Connecteur droit 37"/>
          <xdr:cNvCxnSpPr/>
        </xdr:nvCxnSpPr>
        <xdr:spPr>
          <a:xfrm flipH="1" flipV="1">
            <a:off x="5274733" y="1397000"/>
            <a:ext cx="218276" cy="259927"/>
          </a:xfrm>
          <a:prstGeom prst="line">
            <a:avLst/>
          </a:prstGeom>
          <a:ln w="9525"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40"/>
          <xdr:cNvCxnSpPr/>
        </xdr:nvCxnSpPr>
        <xdr:spPr>
          <a:xfrm>
            <a:off x="6072976" y="1554480"/>
            <a:ext cx="369311" cy="121920"/>
          </a:xfrm>
          <a:prstGeom prst="line">
            <a:avLst/>
          </a:prstGeom>
          <a:ln w="9525"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ZoneTexte 42"/>
          <xdr:cNvSpPr txBox="1"/>
        </xdr:nvSpPr>
        <xdr:spPr>
          <a:xfrm>
            <a:off x="5065606" y="1189566"/>
            <a:ext cx="327660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2</a:t>
            </a:r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6440592" y="1595966"/>
            <a:ext cx="331047" cy="2624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3</a:t>
            </a:r>
          </a:p>
        </xdr:txBody>
      </xdr:sp>
      <xdr:sp macro="" textlink="">
        <xdr:nvSpPr>
          <xdr:cNvPr id="39" name="Arc 38"/>
          <xdr:cNvSpPr/>
        </xdr:nvSpPr>
        <xdr:spPr>
          <a:xfrm>
            <a:off x="4919133" y="580840"/>
            <a:ext cx="431800" cy="441906"/>
          </a:xfrm>
          <a:prstGeom prst="arc">
            <a:avLst>
              <a:gd name="adj1" fmla="val 9520847"/>
              <a:gd name="adj2" fmla="val 5057145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0" name="ZoneTexte 39"/>
          <xdr:cNvSpPr txBox="1"/>
        </xdr:nvSpPr>
        <xdr:spPr>
          <a:xfrm>
            <a:off x="4394200" y="338664"/>
            <a:ext cx="1447800" cy="26246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100"/>
              <a:t>Moments</a:t>
            </a:r>
            <a:r>
              <a:rPr lang="fr-FR" sz="1100" baseline="0"/>
              <a:t> positifs</a:t>
            </a:r>
            <a:endParaRPr lang="fr-FR" sz="1100"/>
          </a:p>
        </xdr:txBody>
      </xdr:sp>
      <xdr:cxnSp macro="">
        <xdr:nvCxnSpPr>
          <xdr:cNvPr id="26" name="Connecteur droit avec flèche 25"/>
          <xdr:cNvCxnSpPr/>
        </xdr:nvCxnSpPr>
        <xdr:spPr>
          <a:xfrm flipV="1">
            <a:off x="5554133" y="956733"/>
            <a:ext cx="0" cy="1786467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Connecteur droit avec flèche 46"/>
          <xdr:cNvCxnSpPr/>
        </xdr:nvCxnSpPr>
        <xdr:spPr>
          <a:xfrm>
            <a:off x="5363633" y="2205570"/>
            <a:ext cx="1579037" cy="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Connecteur droit avec flèche 47"/>
          <xdr:cNvCxnSpPr>
            <a:stCxn id="16" idx="3"/>
          </xdr:cNvCxnSpPr>
        </xdr:nvCxnSpPr>
        <xdr:spPr>
          <a:xfrm flipV="1">
            <a:off x="4242260" y="2199179"/>
            <a:ext cx="1312259" cy="31080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Connecteur droit avec flèche 48"/>
          <xdr:cNvCxnSpPr/>
        </xdr:nvCxnSpPr>
        <xdr:spPr>
          <a:xfrm>
            <a:off x="3691470" y="1642536"/>
            <a:ext cx="715427" cy="1087966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Forme libre 50"/>
          <xdr:cNvSpPr/>
        </xdr:nvSpPr>
        <xdr:spPr>
          <a:xfrm rot="19401141">
            <a:off x="4174067" y="2218267"/>
            <a:ext cx="254000" cy="237067"/>
          </a:xfrm>
          <a:custGeom>
            <a:avLst/>
            <a:gdLst>
              <a:gd name="connsiteX0" fmla="*/ 0 w 254000"/>
              <a:gd name="connsiteY0" fmla="*/ 0 h 237067"/>
              <a:gd name="connsiteX1" fmla="*/ 254000 w 254000"/>
              <a:gd name="connsiteY1" fmla="*/ 0 h 237067"/>
              <a:gd name="connsiteX2" fmla="*/ 254000 w 254000"/>
              <a:gd name="connsiteY2" fmla="*/ 237067 h 23706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254000" h="237067">
                <a:moveTo>
                  <a:pt x="0" y="0"/>
                </a:moveTo>
                <a:lnTo>
                  <a:pt x="254000" y="0"/>
                </a:lnTo>
                <a:lnTo>
                  <a:pt x="254000" y="237067"/>
                </a:lnTo>
              </a:path>
            </a:pathLst>
          </a:custGeom>
          <a:noFill/>
          <a:ln w="9525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2" name="Arc 51"/>
          <xdr:cNvSpPr/>
        </xdr:nvSpPr>
        <xdr:spPr>
          <a:xfrm>
            <a:off x="3784588" y="2056562"/>
            <a:ext cx="939812" cy="961808"/>
          </a:xfrm>
          <a:prstGeom prst="arc">
            <a:avLst>
              <a:gd name="adj1" fmla="val 19224176"/>
              <a:gd name="adj2" fmla="val 20559640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4566074" y="1477432"/>
            <a:ext cx="327660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cxnSp macro="">
        <xdr:nvCxnSpPr>
          <xdr:cNvPr id="58" name="Connecteur droit avec flèche 57"/>
          <xdr:cNvCxnSpPr/>
        </xdr:nvCxnSpPr>
        <xdr:spPr>
          <a:xfrm>
            <a:off x="3729571" y="2527303"/>
            <a:ext cx="1562105" cy="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Arc 59"/>
          <xdr:cNvSpPr/>
        </xdr:nvSpPr>
        <xdr:spPr>
          <a:xfrm>
            <a:off x="3293523" y="1562666"/>
            <a:ext cx="1905010" cy="1949600"/>
          </a:xfrm>
          <a:prstGeom prst="arc">
            <a:avLst>
              <a:gd name="adj1" fmla="val 14258564"/>
              <a:gd name="adj2" fmla="val 21571340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1" name="ZoneTexte 60"/>
          <xdr:cNvSpPr txBox="1"/>
        </xdr:nvSpPr>
        <xdr:spPr>
          <a:xfrm>
            <a:off x="4631266" y="2159000"/>
            <a:ext cx="279401" cy="2836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l-GR" sz="1100"/>
              <a:t>μ</a:t>
            </a:r>
            <a:endParaRPr lang="fr-FR" sz="1100"/>
          </a:p>
        </xdr:txBody>
      </xdr:sp>
      <xdr:sp macro="" textlink="">
        <xdr:nvSpPr>
          <xdr:cNvPr id="62" name="Arc 61"/>
          <xdr:cNvSpPr/>
        </xdr:nvSpPr>
        <xdr:spPr>
          <a:xfrm>
            <a:off x="5012255" y="1665310"/>
            <a:ext cx="1092212" cy="1117776"/>
          </a:xfrm>
          <a:prstGeom prst="arc">
            <a:avLst>
              <a:gd name="adj1" fmla="val 18532913"/>
              <a:gd name="adj2" fmla="val 21471879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4" name="Arc 63"/>
          <xdr:cNvSpPr/>
        </xdr:nvSpPr>
        <xdr:spPr>
          <a:xfrm>
            <a:off x="3520475" y="1794933"/>
            <a:ext cx="1451104" cy="1485066"/>
          </a:xfrm>
          <a:prstGeom prst="arc">
            <a:avLst>
              <a:gd name="adj1" fmla="val 19464698"/>
              <a:gd name="adj2" fmla="val 21471879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7" name="ZoneTexte 66"/>
          <xdr:cNvSpPr txBox="1"/>
        </xdr:nvSpPr>
        <xdr:spPr>
          <a:xfrm>
            <a:off x="4870875" y="2112432"/>
            <a:ext cx="327660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l-GR" sz="1100"/>
              <a:t>β</a:t>
            </a:r>
            <a:endParaRPr lang="fr-FR" sz="1100"/>
          </a:p>
        </xdr:txBody>
      </xdr:sp>
      <xdr:sp macro="" textlink="">
        <xdr:nvSpPr>
          <xdr:cNvPr id="69" name="ZoneTexte 68"/>
          <xdr:cNvSpPr txBox="1"/>
        </xdr:nvSpPr>
        <xdr:spPr>
          <a:xfrm>
            <a:off x="5985933" y="1849966"/>
            <a:ext cx="440267" cy="2624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l-GR" sz="1100"/>
              <a:t>β</a:t>
            </a:r>
            <a:r>
              <a:rPr lang="fr-FR" sz="1100"/>
              <a:t>1</a:t>
            </a:r>
          </a:p>
        </xdr:txBody>
      </xdr:sp>
    </xdr:grpSp>
    <xdr:clientData/>
  </xdr:twoCellAnchor>
  <xdr:twoCellAnchor editAs="oneCell">
    <xdr:from>
      <xdr:col>15</xdr:col>
      <xdr:colOff>42333</xdr:colOff>
      <xdr:row>19</xdr:row>
      <xdr:rowOff>16933</xdr:rowOff>
    </xdr:from>
    <xdr:to>
      <xdr:col>23</xdr:col>
      <xdr:colOff>765935</xdr:colOff>
      <xdr:row>72</xdr:row>
      <xdr:rowOff>118533</xdr:rowOff>
    </xdr:to>
    <xdr:pic>
      <xdr:nvPicPr>
        <xdr:cNvPr id="73" name="Image 7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65466" y="3462866"/>
          <a:ext cx="709053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showGridLines="0" tabSelected="1" zoomScale="90" zoomScaleNormal="90" workbookViewId="0">
      <selection activeCell="M62" sqref="M62"/>
    </sheetView>
  </sheetViews>
  <sheetFormatPr baseColWidth="10" defaultRowHeight="14.4" x14ac:dyDescent="0.3"/>
  <cols>
    <col min="1" max="1" width="4.88671875" customWidth="1"/>
    <col min="11" max="11" width="11.6640625" bestFit="1" customWidth="1"/>
    <col min="12" max="12" width="12.109375" bestFit="1" customWidth="1"/>
  </cols>
  <sheetData>
    <row r="1" spans="1:27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O1" s="1"/>
      <c r="P1" s="34"/>
    </row>
    <row r="2" spans="1:27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1"/>
      <c r="N2" s="1"/>
      <c r="O2" s="1"/>
      <c r="P2" s="34"/>
      <c r="Q2" s="45" t="s">
        <v>21</v>
      </c>
      <c r="R2" s="45"/>
      <c r="S2" s="45"/>
      <c r="T2" s="45"/>
      <c r="U2" s="45"/>
      <c r="V2" s="45"/>
      <c r="W2" s="45"/>
      <c r="X2" s="45"/>
      <c r="Y2" s="45"/>
      <c r="Z2" s="45"/>
      <c r="AA2" s="45"/>
    </row>
    <row r="3" spans="1:27" ht="14.4" customHeight="1" x14ac:dyDescent="0.3">
      <c r="A3" s="1"/>
      <c r="B3" s="11" t="s">
        <v>9</v>
      </c>
      <c r="C3" s="1"/>
      <c r="D3" s="1"/>
      <c r="E3" s="1"/>
      <c r="G3" s="14"/>
      <c r="H3" s="14"/>
      <c r="I3" s="1"/>
      <c r="J3" s="1"/>
      <c r="K3" s="1"/>
      <c r="L3" s="1"/>
      <c r="M3" s="1"/>
      <c r="N3" s="1"/>
      <c r="O3" s="1"/>
      <c r="P3" s="34"/>
      <c r="R3" s="1"/>
      <c r="S3" s="1"/>
      <c r="T3" s="1"/>
      <c r="U3" s="1"/>
      <c r="Y3" s="1" t="s">
        <v>20</v>
      </c>
    </row>
    <row r="4" spans="1:27" x14ac:dyDescent="0.3">
      <c r="A4" s="1"/>
      <c r="B4" s="1"/>
      <c r="C4" s="1"/>
      <c r="D4" s="1"/>
      <c r="E4" s="1"/>
      <c r="F4" s="14"/>
      <c r="G4" s="14"/>
      <c r="H4" s="14"/>
      <c r="I4" s="1"/>
      <c r="J4" s="1"/>
      <c r="K4" s="1"/>
      <c r="L4" s="1"/>
      <c r="M4" s="1"/>
      <c r="N4" s="1"/>
      <c r="O4" s="1"/>
      <c r="P4" s="34"/>
      <c r="Q4" s="4" t="s">
        <v>6</v>
      </c>
      <c r="R4" s="38"/>
      <c r="S4" s="26" t="s">
        <v>0</v>
      </c>
      <c r="T4" s="30" t="s">
        <v>12</v>
      </c>
      <c r="U4" s="30" t="s">
        <v>15</v>
      </c>
      <c r="V4" s="30" t="s">
        <v>14</v>
      </c>
      <c r="W4" s="31" t="s">
        <v>17</v>
      </c>
      <c r="X4" s="34"/>
      <c r="Y4" s="4" t="s">
        <v>16</v>
      </c>
      <c r="AA4" s="4" t="s">
        <v>26</v>
      </c>
    </row>
    <row r="5" spans="1:27" x14ac:dyDescent="0.3">
      <c r="A5" s="1"/>
      <c r="B5" s="1"/>
      <c r="C5" s="1"/>
      <c r="D5" s="1"/>
      <c r="E5" s="1"/>
      <c r="F5" s="15"/>
      <c r="G5" s="1" t="s">
        <v>20</v>
      </c>
      <c r="H5" s="15"/>
      <c r="I5" s="1"/>
      <c r="J5" s="1"/>
      <c r="K5" s="1"/>
      <c r="L5" s="1"/>
      <c r="P5" s="35"/>
      <c r="Q5" s="6" t="s">
        <v>28</v>
      </c>
      <c r="R5" s="38"/>
      <c r="S5" s="27" t="s">
        <v>13</v>
      </c>
      <c r="T5" s="27" t="s">
        <v>13</v>
      </c>
      <c r="U5" s="27" t="s">
        <v>13</v>
      </c>
      <c r="V5" s="27" t="s">
        <v>13</v>
      </c>
      <c r="W5" s="6" t="s">
        <v>13</v>
      </c>
      <c r="X5" s="35"/>
      <c r="Y5" s="24" t="s">
        <v>1</v>
      </c>
      <c r="AA5" s="6" t="s">
        <v>1</v>
      </c>
    </row>
    <row r="6" spans="1:27" ht="18" x14ac:dyDescent="0.35">
      <c r="A6" s="1"/>
      <c r="B6" s="4" t="s">
        <v>3</v>
      </c>
      <c r="C6" s="4" t="s">
        <v>7</v>
      </c>
      <c r="D6" s="5" t="s">
        <v>0</v>
      </c>
      <c r="E6" s="4" t="s">
        <v>6</v>
      </c>
      <c r="F6" s="1"/>
      <c r="G6" s="4" t="s">
        <v>11</v>
      </c>
      <c r="H6" s="1"/>
      <c r="I6" s="1"/>
      <c r="P6" s="35"/>
      <c r="Q6" s="25">
        <f>Cm_1*1000</f>
        <v>-5000</v>
      </c>
      <c r="R6" s="38"/>
      <c r="S6" s="28">
        <f>RADIANS(αdeg)</f>
        <v>0.26179938779914941</v>
      </c>
      <c r="T6" s="28">
        <f>ASIN(DC*SIN(αrad)/DA)</f>
        <v>0.15592245237394742</v>
      </c>
      <c r="U6" s="28">
        <f>ATAN2(Xa,Ya)+μ+3*PI()/2</f>
        <v>2.3702198879621283</v>
      </c>
      <c r="V6" s="28">
        <f>δ-PI()/2</f>
        <v>0.79942356116723179</v>
      </c>
      <c r="W6" s="32">
        <f>β+αrad</f>
        <v>1.0612229489663811</v>
      </c>
      <c r="X6" s="36" t="s">
        <v>18</v>
      </c>
      <c r="Y6" s="24">
        <f>DC*COS(β1)</f>
        <v>29.26829221868935</v>
      </c>
      <c r="AA6" s="25">
        <f>SQRT((Xa-Xc)^2+(Ya-Yc)^2)</f>
        <v>156.7424197920239</v>
      </c>
    </row>
    <row r="7" spans="1:27" ht="18" x14ac:dyDescent="0.35">
      <c r="A7" s="1"/>
      <c r="B7" s="6" t="s">
        <v>1</v>
      </c>
      <c r="C7" s="6" t="s">
        <v>1</v>
      </c>
      <c r="D7" s="7" t="s">
        <v>2</v>
      </c>
      <c r="E7" s="6" t="s">
        <v>5</v>
      </c>
      <c r="G7" s="22" t="s">
        <v>1</v>
      </c>
      <c r="H7" s="1"/>
      <c r="I7" s="1"/>
      <c r="P7" s="35"/>
      <c r="Q7" s="38"/>
      <c r="R7" s="40" t="s">
        <v>27</v>
      </c>
      <c r="S7" s="29">
        <f>DEGREES(αrad)</f>
        <v>14.999999999999998</v>
      </c>
      <c r="T7" s="29">
        <f>DEGREES(μ)</f>
        <v>8.9336984523567704</v>
      </c>
      <c r="U7" s="29">
        <f>DEGREES(δ)</f>
        <v>135.80359609820079</v>
      </c>
      <c r="V7" s="29">
        <f>DEGREES(β)</f>
        <v>45.803596098200792</v>
      </c>
      <c r="W7" s="33">
        <f>DEGREES(β1)</f>
        <v>60.803596098200785</v>
      </c>
      <c r="X7" s="36" t="s">
        <v>19</v>
      </c>
      <c r="Y7" s="25">
        <f>DC*SIN(β1)</f>
        <v>52.37716172723956</v>
      </c>
      <c r="AA7" s="1"/>
    </row>
    <row r="8" spans="1:27" x14ac:dyDescent="0.3">
      <c r="A8" s="1"/>
      <c r="B8" s="8">
        <v>100</v>
      </c>
      <c r="C8" s="8">
        <v>60</v>
      </c>
      <c r="D8" s="8">
        <v>15</v>
      </c>
      <c r="E8" s="8">
        <v>-5</v>
      </c>
      <c r="F8" s="21" t="s">
        <v>18</v>
      </c>
      <c r="G8" s="23">
        <f>-80</f>
        <v>-80</v>
      </c>
      <c r="H8" s="1"/>
      <c r="I8" s="1"/>
      <c r="M8" s="1"/>
      <c r="N8" s="1"/>
      <c r="O8" s="1"/>
      <c r="P8" s="34"/>
      <c r="Q8" s="37"/>
      <c r="R8" s="37"/>
      <c r="V8" s="1"/>
      <c r="Z8" s="1"/>
    </row>
    <row r="9" spans="1:27" x14ac:dyDescent="0.3">
      <c r="A9" s="1"/>
      <c r="B9" s="1"/>
      <c r="C9" s="1"/>
      <c r="D9" s="1"/>
      <c r="E9" s="1"/>
      <c r="F9" s="21" t="s">
        <v>19</v>
      </c>
      <c r="G9" s="8">
        <f>-60</f>
        <v>-60</v>
      </c>
      <c r="H9" s="1"/>
      <c r="I9" s="1"/>
      <c r="J9" s="1"/>
      <c r="P9" s="35"/>
      <c r="Q9" s="45" t="s">
        <v>29</v>
      </c>
      <c r="R9" s="45"/>
      <c r="S9" s="45"/>
      <c r="T9" s="45"/>
      <c r="U9" s="45"/>
      <c r="V9" s="45"/>
      <c r="W9" s="45"/>
      <c r="X9" s="45"/>
      <c r="Y9" s="45"/>
      <c r="Z9" s="45"/>
      <c r="AA9" s="45"/>
    </row>
    <row r="10" spans="1:27" x14ac:dyDescent="0.3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  <c r="P10" s="35"/>
      <c r="R10" s="37"/>
      <c r="S10" s="43" t="s">
        <v>20</v>
      </c>
      <c r="T10" s="43"/>
      <c r="U10" s="43"/>
    </row>
    <row r="11" spans="1:27" ht="15.6" x14ac:dyDescent="0.3">
      <c r="A11" s="1"/>
      <c r="B11" s="1"/>
      <c r="C11" s="1"/>
      <c r="D11" s="12" t="s">
        <v>10</v>
      </c>
      <c r="E11" s="1"/>
      <c r="F11" s="1"/>
      <c r="G11" s="1"/>
      <c r="H11" s="1"/>
      <c r="I11" s="1"/>
      <c r="J11" s="1"/>
      <c r="K11" s="1"/>
      <c r="L11" s="1"/>
      <c r="P11" s="35"/>
      <c r="Q11" s="4" t="s">
        <v>4</v>
      </c>
      <c r="R11" s="34"/>
      <c r="S11" s="26" t="s">
        <v>22</v>
      </c>
      <c r="T11" s="30" t="s">
        <v>24</v>
      </c>
      <c r="U11" s="31" t="s">
        <v>25</v>
      </c>
      <c r="V11" s="1"/>
      <c r="W11" s="1"/>
    </row>
    <row r="12" spans="1:27" x14ac:dyDescent="0.3">
      <c r="A12" s="1"/>
      <c r="B12" s="1"/>
      <c r="C12" s="1"/>
      <c r="D12" s="4" t="s">
        <v>4</v>
      </c>
      <c r="E12" s="1"/>
      <c r="F12" s="1"/>
      <c r="G12" s="1"/>
      <c r="H12" s="1"/>
      <c r="I12" s="1"/>
      <c r="J12" s="1"/>
      <c r="K12" s="1"/>
      <c r="L12" s="1"/>
      <c r="M12" s="1"/>
      <c r="N12" s="1"/>
      <c r="P12" s="35"/>
      <c r="Q12" s="6" t="s">
        <v>28</v>
      </c>
      <c r="R12" s="34"/>
      <c r="S12" s="27" t="s">
        <v>23</v>
      </c>
      <c r="T12" s="27" t="s">
        <v>23</v>
      </c>
      <c r="U12" s="6" t="s">
        <v>23</v>
      </c>
      <c r="V12" s="1"/>
      <c r="W12" s="1"/>
      <c r="X12" s="1"/>
    </row>
    <row r="13" spans="1:27" x14ac:dyDescent="0.3">
      <c r="A13" s="1"/>
      <c r="B13" s="1"/>
      <c r="C13" s="1"/>
      <c r="D13" s="6" t="s">
        <v>5</v>
      </c>
      <c r="E13" s="1"/>
      <c r="F13" s="1"/>
      <c r="G13" s="1"/>
      <c r="H13" s="1"/>
      <c r="I13" s="1"/>
      <c r="J13" s="1"/>
      <c r="K13" s="1"/>
      <c r="L13" s="1"/>
      <c r="M13" s="1"/>
      <c r="N13" s="1"/>
      <c r="P13" s="35"/>
      <c r="Q13" s="42">
        <f>-Cm*(1+(Xc*SIN(δ)-Yc*COS(δ))/((Xa-Xc)*SIN(δ)-(Ya-Yc)*COS(δ)))</f>
        <v>3151.2487285112957</v>
      </c>
      <c r="R13" s="36" t="s">
        <v>18</v>
      </c>
      <c r="S13" s="44">
        <f>Ra*COS(δ)</f>
        <v>-22.870463652679046</v>
      </c>
      <c r="T13" s="44">
        <f>-Ra*COS(δ)</f>
        <v>22.870463652679046</v>
      </c>
      <c r="U13" s="24">
        <f>-Ra*COS(δ)</f>
        <v>22.870463652679046</v>
      </c>
      <c r="V13" s="19"/>
      <c r="W13" s="1"/>
    </row>
    <row r="14" spans="1:27" x14ac:dyDescent="0.3">
      <c r="A14" s="1"/>
      <c r="B14" s="1"/>
      <c r="C14" s="1"/>
      <c r="D14" s="13">
        <f>Cr/1000</f>
        <v>3.1512487285112956</v>
      </c>
      <c r="E14" s="1"/>
      <c r="F14" s="1"/>
      <c r="G14" s="1"/>
      <c r="H14" s="1"/>
      <c r="I14" s="1"/>
      <c r="J14" s="1"/>
      <c r="K14" s="1"/>
      <c r="L14" s="1"/>
      <c r="M14" s="1"/>
      <c r="N14" s="1"/>
      <c r="P14" s="35"/>
      <c r="R14" s="40" t="s">
        <v>19</v>
      </c>
      <c r="S14" s="29">
        <f>Ra*SIN(δ)</f>
        <v>22.237761366881905</v>
      </c>
      <c r="T14" s="29">
        <f>-Ra*SIN(δ)</f>
        <v>-22.237761366881905</v>
      </c>
      <c r="U14" s="25">
        <f>-Ra*SIN(δ)</f>
        <v>-22.237761366881905</v>
      </c>
      <c r="V14" s="1"/>
      <c r="W14" s="1"/>
      <c r="X14" s="1"/>
      <c r="Y14" s="1"/>
    </row>
    <row r="15" spans="1:27" x14ac:dyDescent="0.3">
      <c r="A15" s="1"/>
      <c r="B15" s="1"/>
      <c r="C15" s="1"/>
      <c r="D15" s="46"/>
      <c r="E15" s="1"/>
      <c r="F15" s="1"/>
      <c r="G15" s="1"/>
      <c r="H15" s="1"/>
      <c r="I15" s="1"/>
      <c r="J15" s="1"/>
      <c r="K15" s="1"/>
      <c r="L15" s="1"/>
      <c r="M15" s="1"/>
      <c r="N15" s="1"/>
      <c r="P15" s="35"/>
      <c r="R15" s="40"/>
      <c r="S15" s="41"/>
      <c r="T15" s="41" t="s">
        <v>30</v>
      </c>
      <c r="U15" s="41"/>
      <c r="V15" s="1"/>
      <c r="W15" s="1"/>
      <c r="X15" s="1"/>
      <c r="Y15" s="1"/>
    </row>
    <row r="16" spans="1:27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35"/>
      <c r="R16" s="37"/>
      <c r="S16" s="4" t="s">
        <v>22</v>
      </c>
      <c r="T16" s="4" t="s">
        <v>24</v>
      </c>
      <c r="U16" s="4" t="s">
        <v>25</v>
      </c>
      <c r="W16" s="1"/>
      <c r="X16" s="1"/>
    </row>
    <row r="17" spans="1:27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M17" s="1"/>
      <c r="N17" s="1"/>
      <c r="O17" s="1"/>
      <c r="P17" s="35"/>
      <c r="S17" s="6" t="s">
        <v>23</v>
      </c>
      <c r="T17" s="6" t="s">
        <v>23</v>
      </c>
      <c r="U17" s="6" t="s">
        <v>23</v>
      </c>
    </row>
    <row r="18" spans="1:27" x14ac:dyDescent="0.3">
      <c r="A18" s="1"/>
      <c r="B18" s="16" t="s">
        <v>8</v>
      </c>
      <c r="C18" s="1"/>
      <c r="D18" s="1"/>
      <c r="E18" s="1"/>
      <c r="F18" s="1"/>
      <c r="G18" s="1"/>
      <c r="H18" s="1"/>
      <c r="I18" s="1"/>
      <c r="J18" s="1"/>
      <c r="M18" s="1"/>
      <c r="N18" s="1"/>
      <c r="O18" s="1"/>
      <c r="P18" s="34"/>
      <c r="Q18" s="37"/>
      <c r="R18" s="40"/>
      <c r="S18" s="25">
        <f>Cm/((Xa-Xc)*SIN(δ)-(Ya-Yc)*COS(δ))</f>
        <v>31.89946924791851</v>
      </c>
      <c r="T18" s="25">
        <f>SQRT(T13^2+T14^2)</f>
        <v>31.89946924791851</v>
      </c>
      <c r="U18" s="25">
        <f>SQRT(U13^2+U14^2)</f>
        <v>31.89946924791851</v>
      </c>
      <c r="V18" s="38"/>
      <c r="W18" s="38"/>
      <c r="X18" s="38"/>
      <c r="Y18" s="38"/>
      <c r="Z18" s="38"/>
      <c r="AA18" s="38"/>
    </row>
    <row r="19" spans="1:27" x14ac:dyDescent="0.3">
      <c r="A19" s="1"/>
      <c r="B19" s="9"/>
      <c r="C19" s="9"/>
      <c r="D19" s="9"/>
      <c r="E19" s="9"/>
      <c r="F19" s="9"/>
      <c r="G19" s="9"/>
      <c r="H19" s="9"/>
      <c r="I19" s="9"/>
      <c r="J19" s="9"/>
      <c r="K19" s="10"/>
      <c r="L19" s="10"/>
      <c r="M19" s="10"/>
      <c r="N19" s="10"/>
      <c r="O19" s="10"/>
      <c r="P19" s="39"/>
      <c r="Q19" s="9"/>
      <c r="R19" s="9"/>
      <c r="S19" s="9"/>
      <c r="T19" s="9"/>
      <c r="U19" s="9"/>
      <c r="V19" s="10"/>
      <c r="W19" s="10"/>
      <c r="X19" s="10"/>
      <c r="Y19" s="10"/>
      <c r="Z19" s="10"/>
      <c r="AA19" s="10"/>
    </row>
    <row r="20" spans="1:27" ht="18" x14ac:dyDescent="0.35">
      <c r="B20" s="2" t="s">
        <v>0</v>
      </c>
      <c r="C20" s="1" t="s">
        <v>0</v>
      </c>
      <c r="D20" s="18" t="s">
        <v>12</v>
      </c>
      <c r="E20" s="18" t="s">
        <v>15</v>
      </c>
      <c r="F20" s="18" t="s">
        <v>14</v>
      </c>
      <c r="G20" s="18" t="s">
        <v>17</v>
      </c>
      <c r="H20" s="1" t="s">
        <v>4</v>
      </c>
      <c r="I20" s="1"/>
      <c r="J20" s="1"/>
      <c r="K20" s="1"/>
      <c r="L20" s="1"/>
      <c r="M20" s="1"/>
      <c r="N20" s="1"/>
      <c r="O20" s="1"/>
      <c r="P20" s="34"/>
      <c r="Q20" s="1"/>
      <c r="R20" s="3"/>
      <c r="S20" s="1"/>
      <c r="T20" s="1"/>
      <c r="U20" s="1"/>
    </row>
    <row r="21" spans="1:27" ht="18" x14ac:dyDescent="0.35">
      <c r="B21" s="17" t="s">
        <v>2</v>
      </c>
      <c r="C21" s="9" t="s">
        <v>13</v>
      </c>
      <c r="D21" s="9" t="s">
        <v>13</v>
      </c>
      <c r="E21" s="9" t="s">
        <v>13</v>
      </c>
      <c r="F21" s="9" t="s">
        <v>13</v>
      </c>
      <c r="G21" s="9" t="s">
        <v>13</v>
      </c>
      <c r="H21" s="9" t="s">
        <v>5</v>
      </c>
      <c r="I21" s="12"/>
      <c r="J21" s="1"/>
      <c r="K21" s="1"/>
      <c r="L21" s="1"/>
      <c r="M21" s="1"/>
      <c r="N21" s="1"/>
      <c r="O21" s="1"/>
      <c r="P21" s="34"/>
      <c r="Q21" s="1"/>
      <c r="S21" s="1"/>
      <c r="T21" s="1"/>
      <c r="U21" s="1"/>
      <c r="V21" s="1"/>
    </row>
    <row r="22" spans="1:27" x14ac:dyDescent="0.3">
      <c r="B22" s="1">
        <v>0</v>
      </c>
      <c r="C22" s="20">
        <f>RADIANS(B22)</f>
        <v>0</v>
      </c>
      <c r="D22" s="20">
        <f t="shared" ref="D22:D58" si="0">ASIN(DC*SIN(αrad_t)/DA)</f>
        <v>0</v>
      </c>
      <c r="E22" s="20">
        <f t="shared" ref="E22:E58" si="1">ATAN2(Xa,Ya)+μ_t+3*PI()/2</f>
        <v>2.2142974355881808</v>
      </c>
      <c r="F22" s="20">
        <f t="shared" ref="F22:F58" si="2">δ_t-PI()/2</f>
        <v>0.64350110879328426</v>
      </c>
      <c r="G22" s="20">
        <f t="shared" ref="G22:G58" si="3">β_t+αrad_t</f>
        <v>0.64350110879328426</v>
      </c>
      <c r="H22" s="20">
        <f>(-Cm*(1+(Xc*SIN(δ_t)-Yc*COS(δ_t))/((Xa-Xc)*SIN(δ_t)-(Ya-Yc)*COS(δ_t))))/1000</f>
        <v>3.2291203455070319</v>
      </c>
      <c r="I22" s="1"/>
      <c r="J22" s="1"/>
      <c r="K22" s="1"/>
      <c r="L22" s="1"/>
      <c r="M22" s="1"/>
      <c r="N22" s="1"/>
      <c r="O22" s="1"/>
      <c r="P22" s="35"/>
      <c r="S22" s="1"/>
      <c r="T22" s="1"/>
      <c r="U22" s="1"/>
      <c r="V22" s="1"/>
    </row>
    <row r="23" spans="1:27" x14ac:dyDescent="0.3">
      <c r="B23" s="1">
        <v>10</v>
      </c>
      <c r="C23" s="20">
        <f t="shared" ref="C23:C58" si="4">RADIANS(B23)</f>
        <v>0.17453292519943295</v>
      </c>
      <c r="D23" s="20">
        <f t="shared" si="0"/>
        <v>0.10437833419838723</v>
      </c>
      <c r="E23" s="20">
        <f t="shared" si="1"/>
        <v>2.3186757697865681</v>
      </c>
      <c r="F23" s="20">
        <f t="shared" si="2"/>
        <v>0.74787944299167153</v>
      </c>
      <c r="G23" s="20">
        <f t="shared" si="3"/>
        <v>0.9224123681911045</v>
      </c>
      <c r="H23" s="20">
        <f>(-Cm*(1+(Xc*SIN(δ_t)-Yc*COS(δ_t))/((Xa-Xc)*SIN(δ_t)-(Ya-Yc)*COS(δ_t))))/1000</f>
        <v>3.176804847495089</v>
      </c>
      <c r="I23" s="1"/>
      <c r="J23" s="1"/>
      <c r="K23" s="1"/>
      <c r="L23" s="1"/>
      <c r="M23" s="1"/>
      <c r="N23" s="1"/>
      <c r="O23" s="1"/>
      <c r="P23" s="34"/>
      <c r="S23" s="1"/>
      <c r="T23" s="1"/>
      <c r="U23" s="1"/>
      <c r="V23" s="1"/>
    </row>
    <row r="24" spans="1:27" x14ac:dyDescent="0.3">
      <c r="B24" s="1">
        <v>20</v>
      </c>
      <c r="C24" s="20">
        <f t="shared" si="4"/>
        <v>0.3490658503988659</v>
      </c>
      <c r="D24" s="20">
        <f t="shared" si="0"/>
        <v>0.20668040020152467</v>
      </c>
      <c r="E24" s="20">
        <f t="shared" si="1"/>
        <v>2.4209778357897056</v>
      </c>
      <c r="F24" s="20">
        <f t="shared" si="2"/>
        <v>0.85018150899480904</v>
      </c>
      <c r="G24" s="20">
        <f t="shared" si="3"/>
        <v>1.199247359393675</v>
      </c>
      <c r="H24" s="20">
        <f>(-Cm*(1+(Xc*SIN(δ_t)-Yc*COS(δ_t))/((Xa-Xc)*SIN(δ_t)-(Ya-Yc)*COS(δ_t))))/1000</f>
        <v>3.1260830766000125</v>
      </c>
      <c r="I24" s="1"/>
      <c r="J24" s="1"/>
      <c r="K24" s="1"/>
      <c r="L24" s="1"/>
      <c r="M24" s="1"/>
      <c r="N24" s="1"/>
      <c r="O24" s="1"/>
      <c r="P24" s="34"/>
      <c r="S24" s="1"/>
      <c r="T24" s="1"/>
      <c r="U24" s="1"/>
      <c r="V24" s="1"/>
    </row>
    <row r="25" spans="1:27" x14ac:dyDescent="0.3">
      <c r="B25" s="1">
        <v>30</v>
      </c>
      <c r="C25" s="20">
        <f t="shared" si="4"/>
        <v>0.52359877559829882</v>
      </c>
      <c r="D25" s="20">
        <f t="shared" si="0"/>
        <v>0.30469265401539752</v>
      </c>
      <c r="E25" s="20">
        <f t="shared" si="1"/>
        <v>2.5189900896035784</v>
      </c>
      <c r="F25" s="20">
        <f t="shared" si="2"/>
        <v>0.94819376280868184</v>
      </c>
      <c r="G25" s="20">
        <f t="shared" si="3"/>
        <v>1.4717925384069805</v>
      </c>
      <c r="H25" s="20">
        <f>(-Cm*(1+(Xc*SIN(δ_t)-Yc*COS(δ_t))/((Xa-Xc)*SIN(δ_t)-(Ya-Yc)*COS(δ_t))))/1000</f>
        <v>3.0770036692924041</v>
      </c>
      <c r="I25" s="1"/>
      <c r="J25" s="1"/>
      <c r="K25" s="1"/>
      <c r="L25" s="1"/>
      <c r="M25" s="1"/>
      <c r="N25" s="1"/>
      <c r="O25" s="1"/>
      <c r="P25" s="34"/>
      <c r="S25" s="1"/>
      <c r="T25" s="1"/>
      <c r="U25" s="1"/>
      <c r="V25" s="1"/>
    </row>
    <row r="26" spans="1:27" x14ac:dyDescent="0.3">
      <c r="B26" s="1">
        <v>40</v>
      </c>
      <c r="C26" s="20">
        <f t="shared" si="4"/>
        <v>0.69813170079773179</v>
      </c>
      <c r="D26" s="20">
        <f t="shared" si="0"/>
        <v>0.39593667297409563</v>
      </c>
      <c r="E26" s="20">
        <f t="shared" si="1"/>
        <v>2.6102341085622767</v>
      </c>
      <c r="F26" s="20">
        <f t="shared" si="2"/>
        <v>1.0394377817673801</v>
      </c>
      <c r="G26" s="20">
        <f t="shared" si="3"/>
        <v>1.737569482565112</v>
      </c>
      <c r="H26" s="20">
        <f>(-Cm*(1+(Xc*SIN(δ_t)-Yc*COS(δ_t))/((Xa-Xc)*SIN(δ_t)-(Ya-Yc)*COS(δ_t))))/1000</f>
        <v>3.0300156040155404</v>
      </c>
      <c r="I26" s="1"/>
      <c r="J26" s="1"/>
      <c r="K26" s="1"/>
      <c r="L26" s="1"/>
      <c r="M26" s="1"/>
      <c r="N26" s="1"/>
      <c r="O26" s="1"/>
      <c r="P26" s="34"/>
      <c r="S26" s="1"/>
      <c r="T26" s="1"/>
      <c r="U26" s="1"/>
      <c r="V26" s="1"/>
    </row>
    <row r="27" spans="1:27" x14ac:dyDescent="0.3">
      <c r="B27" s="1">
        <v>50</v>
      </c>
      <c r="C27" s="20">
        <f t="shared" si="4"/>
        <v>0.87266462599716477</v>
      </c>
      <c r="D27" s="20">
        <f t="shared" si="0"/>
        <v>0.47757478458114705</v>
      </c>
      <c r="E27" s="20">
        <f t="shared" si="1"/>
        <v>2.6918722201693277</v>
      </c>
      <c r="F27" s="20">
        <f t="shared" si="2"/>
        <v>1.1210758933744311</v>
      </c>
      <c r="G27" s="20">
        <f t="shared" si="3"/>
        <v>1.9937405193715958</v>
      </c>
      <c r="H27" s="20">
        <f>(-Cm*(1+(Xc*SIN(δ_t)-Yc*COS(δ_t))/((Xa-Xc)*SIN(δ_t)-(Ya-Yc)*COS(δ_t))))/1000</f>
        <v>2.9861789860793344</v>
      </c>
      <c r="I27" s="1"/>
      <c r="J27" s="1"/>
      <c r="K27" s="1"/>
      <c r="L27" s="1"/>
      <c r="M27" s="1"/>
      <c r="N27" s="1"/>
      <c r="O27" s="1"/>
      <c r="P27" s="34"/>
      <c r="S27" s="1"/>
      <c r="T27" s="1"/>
      <c r="U27" s="1"/>
      <c r="V27" s="1"/>
    </row>
    <row r="28" spans="1:27" x14ac:dyDescent="0.3">
      <c r="B28" s="1">
        <v>60</v>
      </c>
      <c r="C28" s="20">
        <f t="shared" si="4"/>
        <v>1.0471975511965976</v>
      </c>
      <c r="D28" s="20">
        <f t="shared" si="0"/>
        <v>0.54640056413797211</v>
      </c>
      <c r="E28" s="20">
        <f t="shared" si="1"/>
        <v>2.7606979997261529</v>
      </c>
      <c r="F28" s="20">
        <f t="shared" si="2"/>
        <v>1.1899016729312564</v>
      </c>
      <c r="G28" s="20">
        <f t="shared" si="3"/>
        <v>2.2370992241278538</v>
      </c>
      <c r="H28" s="20">
        <f>(-Cm*(1+(Xc*SIN(δ_t)-Yc*COS(δ_t))/((Xa-Xc)*SIN(δ_t)-(Ya-Yc)*COS(δ_t))))/1000</f>
        <v>2.9473469597487667</v>
      </c>
      <c r="I28" s="1"/>
      <c r="J28" s="1"/>
      <c r="K28" s="1"/>
      <c r="L28" s="1"/>
      <c r="M28" s="1"/>
      <c r="N28" s="1"/>
      <c r="O28" s="1"/>
      <c r="P28" s="35"/>
      <c r="V28" s="1"/>
    </row>
    <row r="29" spans="1:27" x14ac:dyDescent="0.3">
      <c r="B29" s="1">
        <v>70</v>
      </c>
      <c r="C29" s="20">
        <f t="shared" si="4"/>
        <v>1.2217304763960306</v>
      </c>
      <c r="D29" s="20">
        <f t="shared" si="0"/>
        <v>0.59899844639243927</v>
      </c>
      <c r="E29" s="20">
        <f t="shared" si="1"/>
        <v>2.8132958819806202</v>
      </c>
      <c r="F29" s="20">
        <f t="shared" si="2"/>
        <v>1.2424995551857236</v>
      </c>
      <c r="G29" s="20">
        <f t="shared" si="3"/>
        <v>2.4642300315817542</v>
      </c>
      <c r="H29" s="20">
        <f>(-Cm*(1+(Xc*SIN(δ_t)-Yc*COS(δ_t))/((Xa-Xc)*SIN(δ_t)-(Ya-Yc)*COS(δ_t))))/1000</f>
        <v>2.9161733325117289</v>
      </c>
      <c r="I29" s="1"/>
      <c r="J29" s="1"/>
      <c r="K29" s="1"/>
      <c r="L29" s="1"/>
      <c r="M29" s="1"/>
      <c r="N29" s="1"/>
      <c r="O29" s="1"/>
      <c r="P29" s="35"/>
    </row>
    <row r="30" spans="1:27" x14ac:dyDescent="0.3">
      <c r="B30" s="1">
        <v>80</v>
      </c>
      <c r="C30" s="20">
        <f t="shared" si="4"/>
        <v>1.3962634015954636</v>
      </c>
      <c r="D30" s="20">
        <f t="shared" si="0"/>
        <v>0.63215495529426469</v>
      </c>
      <c r="E30" s="20">
        <f t="shared" si="1"/>
        <v>2.8464523908824457</v>
      </c>
      <c r="F30" s="20">
        <f t="shared" si="2"/>
        <v>1.2756560640875492</v>
      </c>
      <c r="G30" s="20">
        <f t="shared" si="3"/>
        <v>2.671919465683013</v>
      </c>
      <c r="H30" s="20">
        <f>(-Cm*(1+(Xc*SIN(δ_t)-Yc*COS(δ_t))/((Xa-Xc)*SIN(δ_t)-(Ya-Yc)*COS(δ_t))))/1000</f>
        <v>2.8957205149968166</v>
      </c>
      <c r="I30" s="1"/>
      <c r="J30" s="1"/>
      <c r="K30" s="1"/>
      <c r="L30" s="1"/>
      <c r="M30" s="1"/>
      <c r="N30" s="1"/>
      <c r="O30" s="1"/>
      <c r="P30" s="35"/>
      <c r="V30" s="1"/>
      <c r="W30" s="1"/>
    </row>
    <row r="31" spans="1:27" x14ac:dyDescent="0.3">
      <c r="B31" s="1">
        <v>90</v>
      </c>
      <c r="C31" s="20">
        <f t="shared" si="4"/>
        <v>1.5707963267948966</v>
      </c>
      <c r="D31" s="20">
        <f t="shared" si="0"/>
        <v>0.64350110879328437</v>
      </c>
      <c r="E31" s="20">
        <f t="shared" si="1"/>
        <v>2.8577985443814651</v>
      </c>
      <c r="F31" s="20">
        <f t="shared" si="2"/>
        <v>1.2870022175865685</v>
      </c>
      <c r="G31" s="20">
        <f t="shared" si="3"/>
        <v>2.8577985443814651</v>
      </c>
      <c r="H31" s="20">
        <f>(-Cm*(1+(Xc*SIN(δ_t)-Yc*COS(δ_t))/((Xa-Xc)*SIN(δ_t)-(Ya-Yc)*COS(δ_t))))/1000</f>
        <v>2.8885622213359596</v>
      </c>
      <c r="I31" s="1"/>
      <c r="J31" s="1"/>
      <c r="K31" s="1"/>
      <c r="L31" s="1"/>
      <c r="M31" s="1"/>
      <c r="N31" s="1"/>
      <c r="O31" s="1"/>
      <c r="P31" s="35"/>
      <c r="V31" s="1"/>
      <c r="W31" s="1"/>
    </row>
    <row r="32" spans="1:27" x14ac:dyDescent="0.3">
      <c r="B32" s="1">
        <v>100</v>
      </c>
      <c r="C32" s="20">
        <f t="shared" si="4"/>
        <v>1.7453292519943295</v>
      </c>
      <c r="D32" s="20">
        <f t="shared" si="0"/>
        <v>0.63215495529426469</v>
      </c>
      <c r="E32" s="20">
        <f t="shared" si="1"/>
        <v>2.8464523908824457</v>
      </c>
      <c r="F32" s="20">
        <f t="shared" si="2"/>
        <v>1.2756560640875492</v>
      </c>
      <c r="G32" s="20">
        <f t="shared" si="3"/>
        <v>3.0209853160818785</v>
      </c>
      <c r="H32" s="20">
        <f>(-Cm*(1+(Xc*SIN(δ_t)-Yc*COS(δ_t))/((Xa-Xc)*SIN(δ_t)-(Ya-Yc)*COS(δ_t))))/1000</f>
        <v>2.8957205149968166</v>
      </c>
      <c r="I32" s="1"/>
      <c r="J32" s="1"/>
      <c r="K32" s="1"/>
      <c r="L32" s="1"/>
      <c r="M32" s="1"/>
      <c r="N32" s="1"/>
      <c r="O32" s="1"/>
      <c r="P32" s="35"/>
      <c r="V32" s="1"/>
      <c r="W32" s="1"/>
    </row>
    <row r="33" spans="2:16" x14ac:dyDescent="0.3">
      <c r="B33" s="1">
        <v>110</v>
      </c>
      <c r="C33" s="20">
        <f t="shared" si="4"/>
        <v>1.9198621771937625</v>
      </c>
      <c r="D33" s="20">
        <f t="shared" si="0"/>
        <v>0.59899844639243927</v>
      </c>
      <c r="E33" s="20">
        <f t="shared" si="1"/>
        <v>2.8132958819806202</v>
      </c>
      <c r="F33" s="20">
        <f t="shared" si="2"/>
        <v>1.2424995551857236</v>
      </c>
      <c r="G33" s="20">
        <f t="shared" si="3"/>
        <v>3.1623617323794861</v>
      </c>
      <c r="H33" s="20">
        <f>(-Cm*(1+(Xc*SIN(δ_t)-Yc*COS(δ_t))/((Xa-Xc)*SIN(δ_t)-(Ya-Yc)*COS(δ_t))))/1000</f>
        <v>2.9161733325117289</v>
      </c>
      <c r="I33" s="1"/>
      <c r="J33" s="1"/>
      <c r="K33" s="1"/>
      <c r="L33" s="1"/>
      <c r="M33" s="1"/>
      <c r="N33" s="1"/>
      <c r="O33" s="1"/>
      <c r="P33" s="35"/>
    </row>
    <row r="34" spans="2:16" x14ac:dyDescent="0.3">
      <c r="B34" s="1">
        <v>120</v>
      </c>
      <c r="C34" s="20">
        <f t="shared" si="4"/>
        <v>2.0943951023931953</v>
      </c>
      <c r="D34" s="20">
        <f t="shared" si="0"/>
        <v>0.54640056413797222</v>
      </c>
      <c r="E34" s="20">
        <f t="shared" si="1"/>
        <v>2.7606979997261529</v>
      </c>
      <c r="F34" s="20">
        <f t="shared" si="2"/>
        <v>1.1899016729312564</v>
      </c>
      <c r="G34" s="20">
        <f t="shared" si="3"/>
        <v>3.2842967753244516</v>
      </c>
      <c r="H34" s="20">
        <f>(-Cm*(1+(Xc*SIN(δ_t)-Yc*COS(δ_t))/((Xa-Xc)*SIN(δ_t)-(Ya-Yc)*COS(δ_t))))/1000</f>
        <v>2.9473469597487667</v>
      </c>
      <c r="I34" s="1"/>
      <c r="J34" s="1"/>
      <c r="K34" s="1"/>
      <c r="L34" s="1"/>
      <c r="M34" s="1"/>
      <c r="N34" s="1"/>
      <c r="O34" s="1"/>
      <c r="P34" s="35"/>
    </row>
    <row r="35" spans="2:16" x14ac:dyDescent="0.3">
      <c r="B35" s="1">
        <v>130</v>
      </c>
      <c r="C35" s="20">
        <f t="shared" si="4"/>
        <v>2.2689280275926285</v>
      </c>
      <c r="D35" s="20">
        <f t="shared" si="0"/>
        <v>0.47757478458114705</v>
      </c>
      <c r="E35" s="20">
        <f t="shared" si="1"/>
        <v>2.6918722201693277</v>
      </c>
      <c r="F35" s="20">
        <f t="shared" si="2"/>
        <v>1.1210758933744311</v>
      </c>
      <c r="G35" s="20">
        <f t="shared" si="3"/>
        <v>3.3900039209670596</v>
      </c>
      <c r="H35" s="20">
        <f>(-Cm*(1+(Xc*SIN(δ_t)-Yc*COS(δ_t))/((Xa-Xc)*SIN(δ_t)-(Ya-Yc)*COS(δ_t))))/1000</f>
        <v>2.9861789860793344</v>
      </c>
      <c r="P35" s="35"/>
    </row>
    <row r="36" spans="2:16" x14ac:dyDescent="0.3">
      <c r="B36" s="1">
        <v>140</v>
      </c>
      <c r="C36" s="20">
        <f t="shared" si="4"/>
        <v>2.4434609527920612</v>
      </c>
      <c r="D36" s="20">
        <f t="shared" si="0"/>
        <v>0.39593667297409579</v>
      </c>
      <c r="E36" s="20">
        <f t="shared" si="1"/>
        <v>2.6102341085622767</v>
      </c>
      <c r="F36" s="20">
        <f t="shared" si="2"/>
        <v>1.0394377817673801</v>
      </c>
      <c r="G36" s="20">
        <f t="shared" si="3"/>
        <v>3.4828987345594413</v>
      </c>
      <c r="H36" s="20">
        <f>(-Cm*(1+(Xc*SIN(δ_t)-Yc*COS(δ_t))/((Xa-Xc)*SIN(δ_t)-(Ya-Yc)*COS(δ_t))))/1000</f>
        <v>3.0300156040155404</v>
      </c>
      <c r="P36" s="35"/>
    </row>
    <row r="37" spans="2:16" x14ac:dyDescent="0.3">
      <c r="B37" s="1">
        <v>150</v>
      </c>
      <c r="C37" s="20">
        <f t="shared" si="4"/>
        <v>2.6179938779914944</v>
      </c>
      <c r="D37" s="20">
        <f t="shared" si="0"/>
        <v>0.30469265401539752</v>
      </c>
      <c r="E37" s="20">
        <f t="shared" si="1"/>
        <v>2.5189900896035784</v>
      </c>
      <c r="F37" s="20">
        <f t="shared" si="2"/>
        <v>0.94819376280868184</v>
      </c>
      <c r="G37" s="20">
        <f t="shared" si="3"/>
        <v>3.5661876408001763</v>
      </c>
      <c r="H37" s="20">
        <f>(-Cm*(1+(Xc*SIN(δ_t)-Yc*COS(δ_t))/((Xa-Xc)*SIN(δ_t)-(Ya-Yc)*COS(δ_t))))/1000</f>
        <v>3.0770036692924041</v>
      </c>
      <c r="P37" s="35"/>
    </row>
    <row r="38" spans="2:16" x14ac:dyDescent="0.3">
      <c r="B38" s="1">
        <v>160</v>
      </c>
      <c r="C38" s="20">
        <f t="shared" si="4"/>
        <v>2.7925268031909272</v>
      </c>
      <c r="D38" s="20">
        <f t="shared" si="0"/>
        <v>0.2066804002015247</v>
      </c>
      <c r="E38" s="20">
        <f t="shared" si="1"/>
        <v>2.4209778357897056</v>
      </c>
      <c r="F38" s="20">
        <f t="shared" si="2"/>
        <v>0.85018150899480904</v>
      </c>
      <c r="G38" s="20">
        <f t="shared" si="3"/>
        <v>3.6427083121857362</v>
      </c>
      <c r="H38" s="20">
        <f>(-Cm*(1+(Xc*SIN(δ_t)-Yc*COS(δ_t))/((Xa-Xc)*SIN(δ_t)-(Ya-Yc)*COS(δ_t))))/1000</f>
        <v>3.1260830766000125</v>
      </c>
      <c r="P38" s="35"/>
    </row>
    <row r="39" spans="2:16" x14ac:dyDescent="0.3">
      <c r="B39" s="1">
        <v>170</v>
      </c>
      <c r="C39" s="20">
        <f t="shared" si="4"/>
        <v>2.9670597283903604</v>
      </c>
      <c r="D39" s="20">
        <f t="shared" si="0"/>
        <v>0.10437833419838721</v>
      </c>
      <c r="E39" s="20">
        <f t="shared" si="1"/>
        <v>2.3186757697865681</v>
      </c>
      <c r="F39" s="20">
        <f t="shared" si="2"/>
        <v>0.74787944299167153</v>
      </c>
      <c r="G39" s="20">
        <f t="shared" si="3"/>
        <v>3.7149391713820319</v>
      </c>
      <c r="H39" s="20">
        <f>(-Cm*(1+(Xc*SIN(δ_t)-Yc*COS(δ_t))/((Xa-Xc)*SIN(δ_t)-(Ya-Yc)*COS(δ_t))))/1000</f>
        <v>3.176804847495089</v>
      </c>
      <c r="P39" s="35"/>
    </row>
    <row r="40" spans="2:16" x14ac:dyDescent="0.3">
      <c r="B40" s="1">
        <v>180</v>
      </c>
      <c r="C40" s="20">
        <f t="shared" si="4"/>
        <v>3.1415926535897931</v>
      </c>
      <c r="D40" s="20">
        <f t="shared" si="0"/>
        <v>7.3508907294517201E-17</v>
      </c>
      <c r="E40" s="20">
        <f t="shared" si="1"/>
        <v>2.2142974355881808</v>
      </c>
      <c r="F40" s="20">
        <f t="shared" si="2"/>
        <v>0.64350110879328426</v>
      </c>
      <c r="G40" s="20">
        <f t="shared" si="3"/>
        <v>3.7850937623830774</v>
      </c>
      <c r="H40" s="20">
        <f>(-Cm*(1+(Xc*SIN(δ_t)-Yc*COS(δ_t))/((Xa-Xc)*SIN(δ_t)-(Ya-Yc)*COS(δ_t))))/1000</f>
        <v>3.2291203455070319</v>
      </c>
      <c r="P40" s="35"/>
    </row>
    <row r="41" spans="2:16" x14ac:dyDescent="0.3">
      <c r="B41" s="1">
        <v>190</v>
      </c>
      <c r="C41" s="20">
        <f t="shared" si="4"/>
        <v>3.3161255787892263</v>
      </c>
      <c r="D41" s="20">
        <f t="shared" si="0"/>
        <v>-0.10437833419838732</v>
      </c>
      <c r="E41" s="20">
        <f t="shared" si="1"/>
        <v>2.1099191013897935</v>
      </c>
      <c r="F41" s="20">
        <f t="shared" si="2"/>
        <v>0.53912277459489699</v>
      </c>
      <c r="G41" s="20">
        <f t="shared" si="3"/>
        <v>3.8552483533841233</v>
      </c>
      <c r="H41" s="20">
        <f>(-Cm*(1+(Xc*SIN(δ_t)-Yc*COS(δ_t))/((Xa-Xc)*SIN(δ_t)-(Ya-Yc)*COS(δ_t))))/1000</f>
        <v>3.2831877530479292</v>
      </c>
      <c r="P41" s="35"/>
    </row>
    <row r="42" spans="2:16" x14ac:dyDescent="0.3">
      <c r="B42" s="1">
        <v>200</v>
      </c>
      <c r="C42" s="20">
        <f t="shared" si="4"/>
        <v>3.4906585039886591</v>
      </c>
      <c r="D42" s="20">
        <f t="shared" si="0"/>
        <v>-0.20668040020152462</v>
      </c>
      <c r="E42" s="20">
        <f t="shared" si="1"/>
        <v>2.007617035386656</v>
      </c>
      <c r="F42" s="20">
        <f t="shared" si="2"/>
        <v>0.43682070859175948</v>
      </c>
      <c r="G42" s="20">
        <f t="shared" si="3"/>
        <v>3.9274792125804185</v>
      </c>
      <c r="H42" s="20">
        <f>(-Cm*(1+(Xc*SIN(δ_t)-Yc*COS(δ_t))/((Xa-Xc)*SIN(δ_t)-(Ya-Yc)*COS(δ_t))))/1000</f>
        <v>3.3391814436638763</v>
      </c>
      <c r="P42" s="35"/>
    </row>
    <row r="43" spans="2:16" x14ac:dyDescent="0.3">
      <c r="B43" s="1">
        <v>210</v>
      </c>
      <c r="C43" s="20">
        <f t="shared" si="4"/>
        <v>3.6651914291880923</v>
      </c>
      <c r="D43" s="20">
        <f t="shared" si="0"/>
        <v>-0.30469265401539758</v>
      </c>
      <c r="E43" s="20">
        <f t="shared" si="1"/>
        <v>1.9096047815727832</v>
      </c>
      <c r="F43" s="20">
        <f t="shared" si="2"/>
        <v>0.33880845477788668</v>
      </c>
      <c r="G43" s="20">
        <f t="shared" si="3"/>
        <v>4.0039998839659789</v>
      </c>
      <c r="H43" s="20">
        <f>(-Cm*(1+(Xc*SIN(δ_t)-Yc*COS(δ_t))/((Xa-Xc)*SIN(δ_t)-(Ya-Yc)*COS(δ_t))))/1000</f>
        <v>3.3970595018635241</v>
      </c>
      <c r="P43" s="35"/>
    </row>
    <row r="44" spans="2:16" x14ac:dyDescent="0.3">
      <c r="B44" s="1">
        <v>220</v>
      </c>
      <c r="C44" s="20">
        <f t="shared" si="4"/>
        <v>3.839724354387525</v>
      </c>
      <c r="D44" s="20">
        <f t="shared" si="0"/>
        <v>-0.39593667297409563</v>
      </c>
      <c r="E44" s="20">
        <f t="shared" si="1"/>
        <v>1.818360762614085</v>
      </c>
      <c r="F44" s="20">
        <f t="shared" si="2"/>
        <v>0.24756443581918841</v>
      </c>
      <c r="G44" s="20">
        <f t="shared" si="3"/>
        <v>4.0872887902067134</v>
      </c>
      <c r="H44" s="20">
        <f>(-Cm*(1+(Xc*SIN(δ_t)-Yc*COS(δ_t))/((Xa-Xc)*SIN(δ_t)-(Ya-Yc)*COS(δ_t))))/1000</f>
        <v>3.4562321137185719</v>
      </c>
      <c r="P44" s="35"/>
    </row>
    <row r="45" spans="2:16" x14ac:dyDescent="0.3">
      <c r="B45" s="1">
        <v>230</v>
      </c>
      <c r="C45" s="20">
        <f t="shared" si="4"/>
        <v>4.0142572795869578</v>
      </c>
      <c r="D45" s="20">
        <f t="shared" si="0"/>
        <v>-0.47757478458114705</v>
      </c>
      <c r="E45" s="20">
        <f t="shared" si="1"/>
        <v>1.7367226510070339</v>
      </c>
      <c r="F45" s="20">
        <f t="shared" si="2"/>
        <v>0.16592632421213738</v>
      </c>
      <c r="G45" s="20">
        <f t="shared" si="3"/>
        <v>4.1801836037990956</v>
      </c>
      <c r="H45" s="20">
        <f>(-Cm*(1+(Xc*SIN(δ_t)-Yc*COS(δ_t))/((Xa-Xc)*SIN(δ_t)-(Ya-Yc)*COS(δ_t))))/1000</f>
        <v>3.5150915201772519</v>
      </c>
      <c r="P45" s="35"/>
    </row>
    <row r="46" spans="2:16" x14ac:dyDescent="0.3">
      <c r="B46" s="1">
        <v>240</v>
      </c>
      <c r="C46" s="20">
        <f t="shared" si="4"/>
        <v>4.1887902047863905</v>
      </c>
      <c r="D46" s="20">
        <f t="shared" si="0"/>
        <v>-0.54640056413797189</v>
      </c>
      <c r="E46" s="20">
        <f t="shared" si="1"/>
        <v>1.6678968714502087</v>
      </c>
      <c r="F46" s="20">
        <f t="shared" si="2"/>
        <v>9.7100544655312149E-2</v>
      </c>
      <c r="G46" s="20">
        <f t="shared" si="3"/>
        <v>4.2858907494417027</v>
      </c>
      <c r="H46" s="20">
        <f>(-Cm*(1+(Xc*SIN(δ_t)-Yc*COS(δ_t))/((Xa-Xc)*SIN(δ_t)-(Ya-Yc)*COS(δ_t))))/1000</f>
        <v>3.5704653309362957</v>
      </c>
      <c r="P46" s="35"/>
    </row>
    <row r="47" spans="2:16" x14ac:dyDescent="0.3">
      <c r="B47" s="1">
        <v>250</v>
      </c>
      <c r="C47" s="20">
        <f t="shared" si="4"/>
        <v>4.3633231299858242</v>
      </c>
      <c r="D47" s="20">
        <f t="shared" si="0"/>
        <v>-0.59899844639243927</v>
      </c>
      <c r="E47" s="20">
        <f t="shared" si="1"/>
        <v>1.6152989891957414</v>
      </c>
      <c r="F47" s="20">
        <f t="shared" si="2"/>
        <v>4.4502662400844883E-2</v>
      </c>
      <c r="G47" s="20">
        <f t="shared" si="3"/>
        <v>4.4078257923866691</v>
      </c>
      <c r="H47" s="20">
        <f>(-Cm*(1+(Xc*SIN(δ_t)-Yc*COS(δ_t))/((Xa-Xc)*SIN(δ_t)-(Ya-Yc)*COS(δ_t))))/1000</f>
        <v>3.6173092475447559</v>
      </c>
      <c r="P47" s="35"/>
    </row>
    <row r="48" spans="2:16" x14ac:dyDescent="0.3">
      <c r="B48" s="1">
        <v>260</v>
      </c>
      <c r="C48" s="20">
        <f t="shared" si="4"/>
        <v>4.5378560551852569</v>
      </c>
      <c r="D48" s="20">
        <f t="shared" si="0"/>
        <v>-0.6321549552942648</v>
      </c>
      <c r="E48" s="20">
        <f t="shared" si="1"/>
        <v>1.5821424802939159</v>
      </c>
      <c r="F48" s="20">
        <f t="shared" si="2"/>
        <v>1.1346153499019351E-2</v>
      </c>
      <c r="G48" s="20">
        <f t="shared" si="3"/>
        <v>4.5492022086842763</v>
      </c>
      <c r="H48" s="20">
        <f>(-Cm*(1+(Xc*SIN(δ_t)-Yc*COS(δ_t))/((Xa-Xc)*SIN(δ_t)-(Ya-Yc)*COS(δ_t))))/1000</f>
        <v>3.6492817181280555</v>
      </c>
      <c r="P48" s="35"/>
    </row>
    <row r="49" spans="2:16" x14ac:dyDescent="0.3">
      <c r="B49" s="1">
        <v>270</v>
      </c>
      <c r="C49" s="20">
        <f t="shared" si="4"/>
        <v>4.7123889803846897</v>
      </c>
      <c r="D49" s="20">
        <f t="shared" si="0"/>
        <v>-0.64350110879328437</v>
      </c>
      <c r="E49" s="20">
        <f t="shared" si="1"/>
        <v>1.5707963267948966</v>
      </c>
      <c r="F49" s="20">
        <f t="shared" si="2"/>
        <v>0</v>
      </c>
      <c r="G49" s="20">
        <f t="shared" si="3"/>
        <v>4.7123889803846897</v>
      </c>
      <c r="H49" s="20">
        <f>(-Cm*(1+(Xc*SIN(δ_t)-Yc*COS(δ_t))/((Xa-Xc)*SIN(δ_t)-(Ya-Yc)*COS(δ_t))))/1000</f>
        <v>3.6607143012672041</v>
      </c>
      <c r="P49" s="35"/>
    </row>
    <row r="50" spans="2:16" x14ac:dyDescent="0.3">
      <c r="B50" s="1">
        <v>280</v>
      </c>
      <c r="C50" s="20">
        <f t="shared" si="4"/>
        <v>4.8869219055841224</v>
      </c>
      <c r="D50" s="20">
        <f t="shared" si="0"/>
        <v>-0.6321549552942648</v>
      </c>
      <c r="E50" s="20">
        <f t="shared" si="1"/>
        <v>1.5821424802939159</v>
      </c>
      <c r="F50" s="20">
        <f t="shared" si="2"/>
        <v>1.1346153499019351E-2</v>
      </c>
      <c r="G50" s="20">
        <f t="shared" si="3"/>
        <v>4.8982680590831418</v>
      </c>
      <c r="H50" s="20">
        <f>(-Cm*(1+(Xc*SIN(δ_t)-Yc*COS(δ_t))/((Xa-Xc)*SIN(δ_t)-(Ya-Yc)*COS(δ_t))))/1000</f>
        <v>3.6492817181280555</v>
      </c>
      <c r="P50" s="35"/>
    </row>
    <row r="51" spans="2:16" x14ac:dyDescent="0.3">
      <c r="B51" s="1">
        <v>290</v>
      </c>
      <c r="C51" s="20">
        <f t="shared" si="4"/>
        <v>5.0614548307835561</v>
      </c>
      <c r="D51" s="20">
        <f t="shared" si="0"/>
        <v>-0.59899844639243927</v>
      </c>
      <c r="E51" s="20">
        <f t="shared" si="1"/>
        <v>1.6152989891957414</v>
      </c>
      <c r="F51" s="20">
        <f t="shared" si="2"/>
        <v>4.4502662400844883E-2</v>
      </c>
      <c r="G51" s="20">
        <f t="shared" si="3"/>
        <v>5.105957493184401</v>
      </c>
      <c r="H51" s="20">
        <f>(-Cm*(1+(Xc*SIN(δ_t)-Yc*COS(δ_t))/((Xa-Xc)*SIN(δ_t)-(Ya-Yc)*COS(δ_t))))/1000</f>
        <v>3.6173092475447559</v>
      </c>
      <c r="P51" s="35"/>
    </row>
    <row r="52" spans="2:16" x14ac:dyDescent="0.3">
      <c r="B52" s="1">
        <v>300</v>
      </c>
      <c r="C52" s="20">
        <f t="shared" si="4"/>
        <v>5.2359877559829888</v>
      </c>
      <c r="D52" s="20">
        <f t="shared" si="0"/>
        <v>-0.546400564137972</v>
      </c>
      <c r="E52" s="20">
        <f t="shared" si="1"/>
        <v>1.6678968714502087</v>
      </c>
      <c r="F52" s="20">
        <f t="shared" si="2"/>
        <v>9.7100544655312149E-2</v>
      </c>
      <c r="G52" s="20">
        <f t="shared" si="3"/>
        <v>5.333088300638301</v>
      </c>
      <c r="H52" s="20">
        <f>(-Cm*(1+(Xc*SIN(δ_t)-Yc*COS(δ_t))/((Xa-Xc)*SIN(δ_t)-(Ya-Yc)*COS(δ_t))))/1000</f>
        <v>3.5704653309362957</v>
      </c>
      <c r="P52" s="35"/>
    </row>
    <row r="53" spans="2:16" x14ac:dyDescent="0.3">
      <c r="B53" s="1">
        <v>310</v>
      </c>
      <c r="C53" s="20">
        <f t="shared" si="4"/>
        <v>5.4105206811824216</v>
      </c>
      <c r="D53" s="20">
        <f t="shared" si="0"/>
        <v>-0.47757478458114716</v>
      </c>
      <c r="E53" s="20">
        <f t="shared" si="1"/>
        <v>1.7367226510070335</v>
      </c>
      <c r="F53" s="20">
        <f t="shared" si="2"/>
        <v>0.16592632421213693</v>
      </c>
      <c r="G53" s="20">
        <f t="shared" si="3"/>
        <v>5.5764470053945585</v>
      </c>
      <c r="H53" s="20">
        <f>(-Cm*(1+(Xc*SIN(δ_t)-Yc*COS(δ_t))/((Xa-Xc)*SIN(δ_t)-(Ya-Yc)*COS(δ_t))))/1000</f>
        <v>3.5150915201772528</v>
      </c>
      <c r="P53" s="35"/>
    </row>
    <row r="54" spans="2:16" x14ac:dyDescent="0.3">
      <c r="B54" s="1">
        <v>320</v>
      </c>
      <c r="C54" s="20">
        <f t="shared" si="4"/>
        <v>5.5850536063818543</v>
      </c>
      <c r="D54" s="20">
        <f t="shared" si="0"/>
        <v>-0.3959366729740959</v>
      </c>
      <c r="E54" s="20">
        <f t="shared" si="1"/>
        <v>1.818360762614085</v>
      </c>
      <c r="F54" s="20">
        <f t="shared" si="2"/>
        <v>0.24756443581918841</v>
      </c>
      <c r="G54" s="20">
        <f t="shared" si="3"/>
        <v>5.8326180422010427</v>
      </c>
      <c r="H54" s="20">
        <f>(-Cm*(1+(Xc*SIN(δ_t)-Yc*COS(δ_t))/((Xa-Xc)*SIN(δ_t)-(Ya-Yc)*COS(δ_t))))/1000</f>
        <v>3.4562321137185719</v>
      </c>
      <c r="P54" s="35"/>
    </row>
    <row r="55" spans="2:16" x14ac:dyDescent="0.3">
      <c r="B55" s="1">
        <v>330</v>
      </c>
      <c r="C55" s="20">
        <f t="shared" si="4"/>
        <v>5.7595865315812871</v>
      </c>
      <c r="D55" s="20">
        <f t="shared" si="0"/>
        <v>-0.3046926540153978</v>
      </c>
      <c r="E55" s="20">
        <f t="shared" si="1"/>
        <v>1.9096047815727832</v>
      </c>
      <c r="F55" s="20">
        <f t="shared" si="2"/>
        <v>0.33880845477788668</v>
      </c>
      <c r="G55" s="20">
        <f t="shared" si="3"/>
        <v>6.0983949863591738</v>
      </c>
      <c r="H55" s="20">
        <f>(-Cm*(1+(Xc*SIN(δ_t)-Yc*COS(δ_t))/((Xa-Xc)*SIN(δ_t)-(Ya-Yc)*COS(δ_t))))/1000</f>
        <v>3.3970595018635241</v>
      </c>
      <c r="P55" s="35"/>
    </row>
    <row r="56" spans="2:16" x14ac:dyDescent="0.3">
      <c r="B56" s="1">
        <v>340</v>
      </c>
      <c r="C56" s="20">
        <f t="shared" si="4"/>
        <v>5.9341194567807207</v>
      </c>
      <c r="D56" s="20">
        <f t="shared" si="0"/>
        <v>-0.20668040020152459</v>
      </c>
      <c r="E56" s="20">
        <f t="shared" si="1"/>
        <v>2.007617035386656</v>
      </c>
      <c r="F56" s="20">
        <f t="shared" si="2"/>
        <v>0.43682070859175948</v>
      </c>
      <c r="G56" s="20">
        <f t="shared" si="3"/>
        <v>6.3709401653724802</v>
      </c>
      <c r="H56" s="20">
        <f>(-Cm*(1+(Xc*SIN(δ_t)-Yc*COS(δ_t))/((Xa-Xc)*SIN(δ_t)-(Ya-Yc)*COS(δ_t))))/1000</f>
        <v>3.3391814436638763</v>
      </c>
      <c r="P56" s="35"/>
    </row>
    <row r="57" spans="2:16" x14ac:dyDescent="0.3">
      <c r="B57" s="1">
        <v>350</v>
      </c>
      <c r="C57" s="20">
        <f t="shared" si="4"/>
        <v>6.1086523819801535</v>
      </c>
      <c r="D57" s="20">
        <f t="shared" si="0"/>
        <v>-0.10437833419838727</v>
      </c>
      <c r="E57" s="20">
        <f t="shared" si="1"/>
        <v>2.1099191013897935</v>
      </c>
      <c r="F57" s="20">
        <f t="shared" si="2"/>
        <v>0.53912277459489699</v>
      </c>
      <c r="G57" s="20">
        <f t="shared" si="3"/>
        <v>6.6477751565750509</v>
      </c>
      <c r="H57" s="20">
        <f>(-Cm*(1+(Xc*SIN(δ_t)-Yc*COS(δ_t))/((Xa-Xc)*SIN(δ_t)-(Ya-Yc)*COS(δ_t))))/1000</f>
        <v>3.2831877530479292</v>
      </c>
      <c r="P57" s="35"/>
    </row>
    <row r="58" spans="2:16" x14ac:dyDescent="0.3">
      <c r="B58" s="1">
        <v>360</v>
      </c>
      <c r="C58" s="20">
        <f t="shared" si="4"/>
        <v>6.2831853071795862</v>
      </c>
      <c r="D58" s="20">
        <f t="shared" si="0"/>
        <v>-1.470178145890344E-16</v>
      </c>
      <c r="E58" s="20">
        <f t="shared" si="1"/>
        <v>2.2142974355881808</v>
      </c>
      <c r="F58" s="20">
        <f t="shared" si="2"/>
        <v>0.64350110879328426</v>
      </c>
      <c r="G58" s="20">
        <f t="shared" si="3"/>
        <v>6.9266864159728705</v>
      </c>
      <c r="H58" s="20">
        <f>(-Cm*(1+(Xc*SIN(δ_t)-Yc*COS(δ_t))/((Xa-Xc)*SIN(δ_t)-(Ya-Yc)*COS(δ_t))))/1000</f>
        <v>3.2291203455070319</v>
      </c>
      <c r="P58" s="35"/>
    </row>
    <row r="59" spans="2:16" x14ac:dyDescent="0.3">
      <c r="P59" s="35"/>
    </row>
    <row r="60" spans="2:16" x14ac:dyDescent="0.3">
      <c r="O60" s="47"/>
      <c r="P60" s="38"/>
    </row>
    <row r="61" spans="2:16" x14ac:dyDescent="0.3">
      <c r="O61" s="47"/>
    </row>
    <row r="62" spans="2:16" x14ac:dyDescent="0.3">
      <c r="O62" s="47"/>
    </row>
    <row r="63" spans="2:16" x14ac:dyDescent="0.3">
      <c r="O63" s="47"/>
    </row>
    <row r="64" spans="2:16" x14ac:dyDescent="0.3">
      <c r="O64" s="47"/>
    </row>
    <row r="65" spans="15:15" x14ac:dyDescent="0.3">
      <c r="O65" s="47"/>
    </row>
    <row r="66" spans="15:15" x14ac:dyDescent="0.3">
      <c r="O66" s="47"/>
    </row>
    <row r="67" spans="15:15" x14ac:dyDescent="0.3">
      <c r="O67" s="47"/>
    </row>
    <row r="68" spans="15:15" x14ac:dyDescent="0.3">
      <c r="O68" s="47"/>
    </row>
    <row r="69" spans="15:15" x14ac:dyDescent="0.3">
      <c r="O69" s="47"/>
    </row>
    <row r="70" spans="15:15" x14ac:dyDescent="0.3">
      <c r="O70" s="47"/>
    </row>
    <row r="71" spans="15:15" x14ac:dyDescent="0.3">
      <c r="O71" s="47"/>
    </row>
    <row r="72" spans="15:15" x14ac:dyDescent="0.3">
      <c r="O72" s="47"/>
    </row>
  </sheetData>
  <mergeCells count="1">
    <mergeCell ref="S10:U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22</vt:i4>
      </vt:variant>
    </vt:vector>
  </HeadingPairs>
  <TitlesOfParts>
    <vt:vector size="23" baseType="lpstr">
      <vt:lpstr>Calculs</vt:lpstr>
      <vt:lpstr>Cm</vt:lpstr>
      <vt:lpstr>Cm_1</vt:lpstr>
      <vt:lpstr>Cr</vt:lpstr>
      <vt:lpstr>DA</vt:lpstr>
      <vt:lpstr>DC</vt:lpstr>
      <vt:lpstr>Ra</vt:lpstr>
      <vt:lpstr>Xa</vt:lpstr>
      <vt:lpstr>Xc</vt:lpstr>
      <vt:lpstr>Ya</vt:lpstr>
      <vt:lpstr>Yc</vt:lpstr>
      <vt:lpstr>α</vt:lpstr>
      <vt:lpstr>αdeg</vt:lpstr>
      <vt:lpstr>αrad</vt:lpstr>
      <vt:lpstr>αrad_t</vt:lpstr>
      <vt:lpstr>β</vt:lpstr>
      <vt:lpstr>β_t</vt:lpstr>
      <vt:lpstr>β1</vt:lpstr>
      <vt:lpstr>β1_t</vt:lpstr>
      <vt:lpstr>δ</vt:lpstr>
      <vt:lpstr>δ_t</vt:lpstr>
      <vt:lpstr>μ</vt:lpstr>
      <vt:lpstr>μ_t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2018-05-04T06:03:19Z</dcterms:created>
  <dcterms:modified xsi:type="dcterms:W3CDTF">2018-05-05T06:57:30Z</dcterms:modified>
</cp:coreProperties>
</file>