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" yWindow="3348" windowWidth="22116" windowHeight="10872"/>
  </bookViews>
  <sheets>
    <sheet name="Cric losange" sheetId="1" r:id="rId1"/>
    <sheet name="Vis-Ecrou" sheetId="2" r:id="rId2"/>
  </sheets>
  <definedNames>
    <definedName name="alpha">#REF!</definedName>
    <definedName name="Capp">'Vis-Ecrou'!$D$55</definedName>
    <definedName name="Cd">'Vis-Ecrou'!$D$52</definedName>
    <definedName name="Cfd">'Vis-Ecrou'!$D$54</definedName>
    <definedName name="Cfm">'Vis-Ecrou'!$D$53</definedName>
    <definedName name="Cm">'Vis-Ecrou'!$D$51</definedName>
    <definedName name="Cs">#REF!</definedName>
    <definedName name="Cud">'Vis-Ecrou'!$D$50</definedName>
    <definedName name="Cum">'Vis-Ecrou'!$D$49</definedName>
    <definedName name="Dec">#REF!</definedName>
    <definedName name="DemAlph">'Vis-Ecrou'!$D$45</definedName>
    <definedName name="DemiAlpha">#REF!</definedName>
    <definedName name="Dm" localSheetId="1">'Vis-Ecrou'!$D$46</definedName>
    <definedName name="Dm">#REF!</definedName>
    <definedName name="DmaxApp">'Vis-Ecrou'!$D$19</definedName>
    <definedName name="DminApp">'Vis-Ecrou'!$D$18</definedName>
    <definedName name="Dnom" localSheetId="1">'Vis-Ecrou'!$D$9</definedName>
    <definedName name="Dnom">#REF!</definedName>
    <definedName name="f">'Vis-Ecrou'!$D$17</definedName>
    <definedName name="fa">#REF!</definedName>
    <definedName name="fapp">'Vis-Ecrou'!$D$20</definedName>
    <definedName name="fb">#REF!</definedName>
    <definedName name="Fch">'Cric losange'!$C$7</definedName>
    <definedName name="Fs">#REF!</definedName>
    <definedName name="Fv">'Vis-Ecrou'!$D$6</definedName>
    <definedName name="H">'Vis-Ecrou'!$D$13</definedName>
    <definedName name="L_">'Cric losange'!$B$7</definedName>
    <definedName name="Ncis">'Vis-Ecrou'!$D$70</definedName>
    <definedName name="Nf">'Vis-Ecrou'!$D$12</definedName>
    <definedName name="Npf">'Vis-Ecrou'!$D$61</definedName>
    <definedName name="Ntf">'Vis-Ecrou'!$D$60</definedName>
    <definedName name="P" localSheetId="1">'Vis-Ecrou'!$D$10</definedName>
    <definedName name="P">#REF!</definedName>
    <definedName name="Papp">'Vis-Ecrou'!$D$58</definedName>
    <definedName name="Pf">'Vis-Ecrou'!$D$56</definedName>
    <definedName name="Pm">'Vis-Ecrou'!$D$57</definedName>
    <definedName name="PrApp">'Vis-Ecrou'!$D$68</definedName>
    <definedName name="Prf">'Vis-Ecrou'!$D$66</definedName>
    <definedName name="S1_">'Vis-Ecrou'!$D$63</definedName>
    <definedName name="Sc">'Vis-Ecrou'!$D$59</definedName>
    <definedName name="Scis">'Vis-Ecrou'!$D$64</definedName>
    <definedName name="Sct">'Vis-Ecrou'!$D$62</definedName>
    <definedName name="Va">'Vis-Ecrou'!$D$47</definedName>
    <definedName name="VmApp">'Vis-Ecrou'!$D$69</definedName>
    <definedName name="Vmf">'Vis-Ecrou'!$D$67</definedName>
    <definedName name="Vz">'Vis-Ecrou'!$D$7</definedName>
    <definedName name="Xa_">'Cric losange'!$F$7:$F$57</definedName>
    <definedName name="α">'Vis-Ecrou'!$D$11</definedName>
  </definedNames>
  <calcPr calcId="145621"/>
</workbook>
</file>

<file path=xl/calcChain.xml><?xml version="1.0" encoding="utf-8"?>
<calcChain xmlns="http://schemas.openxmlformats.org/spreadsheetml/2006/main">
  <c r="D68" i="2" l="1"/>
  <c r="D34" i="2" s="1"/>
  <c r="D63" i="2"/>
  <c r="D60" i="2"/>
  <c r="D61" i="2" s="1"/>
  <c r="D55" i="2"/>
  <c r="D36" i="2" s="1"/>
  <c r="D49" i="2"/>
  <c r="D50" i="2" s="1"/>
  <c r="D47" i="2"/>
  <c r="D69" i="2" s="1"/>
  <c r="D35" i="2" s="1"/>
  <c r="D46" i="2"/>
  <c r="D45" i="2"/>
  <c r="D52" i="2" l="1"/>
  <c r="D28" i="2" s="1"/>
  <c r="D64" i="2"/>
  <c r="D70" i="2" s="1"/>
  <c r="D29" i="2" s="1"/>
  <c r="D51" i="2"/>
  <c r="D58" i="2"/>
  <c r="D37" i="2" s="1"/>
  <c r="D67" i="2"/>
  <c r="D26" i="2" s="1"/>
  <c r="D59" i="2"/>
  <c r="D62" i="2" s="1"/>
  <c r="D66" i="2" s="1"/>
  <c r="D25" i="2" s="1"/>
  <c r="D54" i="2" l="1"/>
  <c r="D53" i="2"/>
  <c r="D56" i="2" s="1"/>
  <c r="D31" i="2" s="1"/>
  <c r="D27" i="2"/>
  <c r="D57" i="2"/>
  <c r="D30" i="2" s="1"/>
  <c r="G33" i="2" s="1"/>
  <c r="L7" i="1" l="1"/>
  <c r="F57" i="1" s="1"/>
  <c r="G57" i="1" s="1"/>
  <c r="K7" i="1"/>
  <c r="F7" i="1" s="1"/>
  <c r="G7" i="1" s="1"/>
  <c r="F8" i="1" l="1"/>
  <c r="F9" i="1" l="1"/>
  <c r="G8" i="1"/>
  <c r="F10" i="1" l="1"/>
  <c r="G9" i="1"/>
  <c r="H8" i="1" s="1"/>
  <c r="F11" i="1" l="1"/>
  <c r="G10" i="1"/>
  <c r="H9" i="1" s="1"/>
  <c r="F12" i="1" l="1"/>
  <c r="G11" i="1"/>
  <c r="H10" i="1" s="1"/>
  <c r="F13" i="1" l="1"/>
  <c r="G12" i="1"/>
  <c r="H11" i="1" s="1"/>
  <c r="F14" i="1" l="1"/>
  <c r="G13" i="1"/>
  <c r="H12" i="1" s="1"/>
  <c r="F15" i="1" l="1"/>
  <c r="G14" i="1"/>
  <c r="H13" i="1" s="1"/>
  <c r="F16" i="1" l="1"/>
  <c r="G15" i="1"/>
  <c r="H14" i="1" s="1"/>
  <c r="F17" i="1" l="1"/>
  <c r="G16" i="1"/>
  <c r="H15" i="1" s="1"/>
  <c r="F18" i="1" l="1"/>
  <c r="G17" i="1"/>
  <c r="H16" i="1" s="1"/>
  <c r="F19" i="1" l="1"/>
  <c r="G18" i="1"/>
  <c r="H17" i="1" s="1"/>
  <c r="F20" i="1" l="1"/>
  <c r="G19" i="1"/>
  <c r="H18" i="1" s="1"/>
  <c r="F21" i="1" l="1"/>
  <c r="G20" i="1"/>
  <c r="H19" i="1" s="1"/>
  <c r="F22" i="1" l="1"/>
  <c r="G21" i="1"/>
  <c r="H20" i="1" s="1"/>
  <c r="F23" i="1" l="1"/>
  <c r="G22" i="1"/>
  <c r="H21" i="1" s="1"/>
  <c r="F24" i="1" l="1"/>
  <c r="G23" i="1"/>
  <c r="H22" i="1" s="1"/>
  <c r="F25" i="1" l="1"/>
  <c r="G24" i="1"/>
  <c r="H23" i="1" s="1"/>
  <c r="F26" i="1" l="1"/>
  <c r="G25" i="1"/>
  <c r="H24" i="1" s="1"/>
  <c r="F27" i="1" l="1"/>
  <c r="G26" i="1"/>
  <c r="H25" i="1" s="1"/>
  <c r="F28" i="1" l="1"/>
  <c r="G27" i="1"/>
  <c r="H26" i="1" s="1"/>
  <c r="F29" i="1" l="1"/>
  <c r="G28" i="1"/>
  <c r="H27" i="1" s="1"/>
  <c r="F30" i="1" l="1"/>
  <c r="G29" i="1"/>
  <c r="H28" i="1" s="1"/>
  <c r="F31" i="1" l="1"/>
  <c r="G30" i="1"/>
  <c r="H29" i="1" s="1"/>
  <c r="F32" i="1" l="1"/>
  <c r="G31" i="1"/>
  <c r="H30" i="1" s="1"/>
  <c r="F33" i="1" l="1"/>
  <c r="G32" i="1"/>
  <c r="H31" i="1" s="1"/>
  <c r="F34" i="1" l="1"/>
  <c r="G33" i="1"/>
  <c r="H32" i="1" s="1"/>
  <c r="F35" i="1" l="1"/>
  <c r="G34" i="1"/>
  <c r="H33" i="1" s="1"/>
  <c r="F36" i="1" l="1"/>
  <c r="G35" i="1"/>
  <c r="H34" i="1" s="1"/>
  <c r="F37" i="1" l="1"/>
  <c r="G36" i="1"/>
  <c r="H35" i="1" s="1"/>
  <c r="F38" i="1" l="1"/>
  <c r="F39" i="1" s="1"/>
  <c r="G37" i="1"/>
  <c r="H36" i="1" s="1"/>
  <c r="G38" i="1" l="1"/>
  <c r="H37" i="1" s="1"/>
  <c r="F40" i="1" l="1"/>
  <c r="G39" i="1"/>
  <c r="H38" i="1" s="1"/>
  <c r="F41" i="1" l="1"/>
  <c r="G40" i="1"/>
  <c r="H39" i="1" s="1"/>
  <c r="F42" i="1" l="1"/>
  <c r="G41" i="1"/>
  <c r="H40" i="1" s="1"/>
  <c r="F43" i="1" l="1"/>
  <c r="G42" i="1"/>
  <c r="H41" i="1" s="1"/>
  <c r="F44" i="1" l="1"/>
  <c r="G43" i="1"/>
  <c r="H42" i="1" s="1"/>
  <c r="F45" i="1" l="1"/>
  <c r="G44" i="1"/>
  <c r="H43" i="1" s="1"/>
  <c r="F46" i="1" l="1"/>
  <c r="G45" i="1"/>
  <c r="H44" i="1" s="1"/>
  <c r="F47" i="1" l="1"/>
  <c r="G46" i="1"/>
  <c r="H45" i="1" s="1"/>
  <c r="F48" i="1" l="1"/>
  <c r="G47" i="1"/>
  <c r="H46" i="1" s="1"/>
  <c r="F49" i="1" l="1"/>
  <c r="G48" i="1"/>
  <c r="H47" i="1" s="1"/>
  <c r="F50" i="1" l="1"/>
  <c r="G49" i="1"/>
  <c r="H48" i="1" s="1"/>
  <c r="F51" i="1" l="1"/>
  <c r="G50" i="1"/>
  <c r="H49" i="1" s="1"/>
  <c r="F52" i="1" l="1"/>
  <c r="G51" i="1"/>
  <c r="H50" i="1" s="1"/>
  <c r="F53" i="1" l="1"/>
  <c r="G52" i="1"/>
  <c r="H51" i="1" s="1"/>
  <c r="F54" i="1" l="1"/>
  <c r="G53" i="1"/>
  <c r="H52" i="1" s="1"/>
  <c r="F55" i="1" l="1"/>
  <c r="G54" i="1"/>
  <c r="H53" i="1" s="1"/>
  <c r="F56" i="1" l="1"/>
  <c r="G56" i="1" s="1"/>
  <c r="H55" i="1" s="1"/>
  <c r="G55" i="1"/>
  <c r="H54" i="1" l="1"/>
  <c r="H56" i="1"/>
</calcChain>
</file>

<file path=xl/sharedStrings.xml><?xml version="1.0" encoding="utf-8"?>
<sst xmlns="http://schemas.openxmlformats.org/spreadsheetml/2006/main" count="162" uniqueCount="137">
  <si>
    <t>(mm)</t>
  </si>
  <si>
    <t>Xa</t>
  </si>
  <si>
    <t>Yb</t>
  </si>
  <si>
    <t>Limites de Xa</t>
  </si>
  <si>
    <t>Fch</t>
  </si>
  <si>
    <t>(N)</t>
  </si>
  <si>
    <t>Fvis</t>
  </si>
  <si>
    <r>
      <t xml:space="preserve">Fvis * </t>
    </r>
    <r>
      <rPr>
        <sz val="14"/>
        <color theme="1"/>
        <rFont val="Calibri"/>
        <family val="2"/>
      </rPr>
      <t>Δ</t>
    </r>
    <r>
      <rPr>
        <sz val="11"/>
        <color theme="1"/>
        <rFont val="Calibri"/>
        <family val="2"/>
      </rPr>
      <t xml:space="preserve">AA' = Fch * </t>
    </r>
    <r>
      <rPr>
        <sz val="14"/>
        <color theme="1"/>
        <rFont val="Calibri"/>
        <family val="2"/>
      </rPr>
      <t>Δ</t>
    </r>
    <r>
      <rPr>
        <sz val="11"/>
        <color theme="1"/>
        <rFont val="Calibri"/>
        <family val="2"/>
      </rPr>
      <t>OB</t>
    </r>
  </si>
  <si>
    <t>Travail en entrée = travail en sortie</t>
  </si>
  <si>
    <t>Calcul d'un système vis-écrou (avec prise en compte appui sur collerette vis ou écrou)</t>
  </si>
  <si>
    <t>DONNEES DE BASE</t>
  </si>
  <si>
    <t>NOTA : on parle de montée et de descente car ici le système est considéré vertical avec une charge pesante</t>
  </si>
  <si>
    <t>Force vis/écrou en N</t>
  </si>
  <si>
    <t>Fv</t>
  </si>
  <si>
    <t>Vitesse vis/écrou en m.s-1</t>
  </si>
  <si>
    <t>Vz</t>
  </si>
  <si>
    <t>Diamètre nominal de la vis en mm</t>
  </si>
  <si>
    <t>Dnom</t>
  </si>
  <si>
    <t>Pas réel en mm ( = avance par tour )</t>
  </si>
  <si>
    <t>P</t>
  </si>
  <si>
    <t xml:space="preserve">Une vis au pas de 6 mm - 2 filets par ex. présente le même profil qu'une vis au pas de 3 mm - 1 filet </t>
  </si>
  <si>
    <t>Angle au sommet du filet en degrés</t>
  </si>
  <si>
    <t>α</t>
  </si>
  <si>
    <t>Filet trapézoïdal std : 30°   -   Carré : 0°  -   Triangulaire std : 60°</t>
  </si>
  <si>
    <t>Nombre de filets</t>
  </si>
  <si>
    <t>Nf</t>
  </si>
  <si>
    <t>Hauteur de l'écrou en mm</t>
  </si>
  <si>
    <t>H</t>
  </si>
  <si>
    <t>Inutile de dépasser 1,5 x Dnom (c'est la limite prise dans les calculs ci-dessous)</t>
  </si>
  <si>
    <t>Matière écrou</t>
  </si>
  <si>
    <t>Bronze</t>
  </si>
  <si>
    <t>Matière vis</t>
  </si>
  <si>
    <t>Acier au carbone</t>
  </si>
  <si>
    <t>Eviter acier inox qui grippe beaucoup plus facilement</t>
  </si>
  <si>
    <t>Coeff. frottement entre les deux matériaux</t>
  </si>
  <si>
    <t>f</t>
  </si>
  <si>
    <r>
      <t>Diamètre mini collerette appui vis en mm</t>
    </r>
    <r>
      <rPr>
        <sz val="8"/>
        <color rgb="FFFF0000"/>
        <rFont val="Arial"/>
        <family val="2"/>
      </rPr>
      <t xml:space="preserve"> *</t>
    </r>
  </si>
  <si>
    <t>DminApp</t>
  </si>
  <si>
    <r>
      <rPr>
        <b/>
        <sz val="8"/>
        <color rgb="FFFF0000"/>
        <rFont val="Arial"/>
        <family val="2"/>
      </rPr>
      <t xml:space="preserve">* </t>
    </r>
    <r>
      <rPr>
        <sz val="8"/>
        <color rgb="FFFF0000"/>
        <rFont val="Arial"/>
        <family val="2"/>
      </rPr>
      <t>ou appui d'écrou si écrou tournant et vis fixe</t>
    </r>
  </si>
  <si>
    <r>
      <t>Diamètre maxi collerette appui vis en mm</t>
    </r>
    <r>
      <rPr>
        <b/>
        <sz val="8"/>
        <color rgb="FFFF0000"/>
        <rFont val="Arial"/>
        <family val="2"/>
      </rPr>
      <t xml:space="preserve"> *</t>
    </r>
  </si>
  <si>
    <t>DmaxApp</t>
  </si>
  <si>
    <t>Coeff. frottement collerette vis / appui</t>
  </si>
  <si>
    <t>fapp</t>
  </si>
  <si>
    <t>Limites avec vis acier et écrou bronze</t>
  </si>
  <si>
    <t>Pour une vitesse de frottement (en m/s)</t>
  </si>
  <si>
    <t>Pression maxi permise (en MPa)</t>
  </si>
  <si>
    <t>RESULTATS (hors frottement collerette appui)</t>
  </si>
  <si>
    <t>&lt; 0,04 (si bonne lub.)</t>
  </si>
  <si>
    <t xml:space="preserve">17 à 24 </t>
  </si>
  <si>
    <t>Pression répartie sur les filets en MPa</t>
  </si>
  <si>
    <t>Prf</t>
  </si>
  <si>
    <t xml:space="preserve">à vérifier ici   </t>
  </si>
  <si>
    <t>0,05 (intermittent)</t>
  </si>
  <si>
    <t>11 à 17</t>
  </si>
  <si>
    <t>Vitesse moyenne de frottement en m.s-1</t>
  </si>
  <si>
    <t>Vmf</t>
  </si>
  <si>
    <t>0,1 à 0,23</t>
  </si>
  <si>
    <t>5 à 10</t>
  </si>
  <si>
    <t>Couple total en montée en N.m</t>
  </si>
  <si>
    <t>Cm</t>
  </si>
  <si>
    <t>1 à 2</t>
  </si>
  <si>
    <t>Couple total en descente en N.m</t>
  </si>
  <si>
    <t>Cd</t>
  </si>
  <si>
    <t>Je n'ai pas pour les vitesses supérieures...</t>
  </si>
  <si>
    <t>Contrainte de cisaillement en MPa</t>
  </si>
  <si>
    <t>Ncis</t>
  </si>
  <si>
    <t>Puissance minimale en montée en W</t>
  </si>
  <si>
    <t>Pm</t>
  </si>
  <si>
    <t>Puissance dissipée en frottement (montée) en W</t>
  </si>
  <si>
    <t>Pf</t>
  </si>
  <si>
    <t>RESULTATS (frottement collerette appui, seul)</t>
  </si>
  <si>
    <t>Pression répartie sur la collerette en MPa</t>
  </si>
  <si>
    <t>PrApp</t>
  </si>
  <si>
    <t>VmApp</t>
  </si>
  <si>
    <t>Couple de frottement collerette/appui en N.m</t>
  </si>
  <si>
    <t>Capp</t>
  </si>
  <si>
    <t>Puissance dissipée en frottement collerette en W</t>
  </si>
  <si>
    <t>Papp</t>
  </si>
  <si>
    <t>CALCULS INTERMEDIAIRES</t>
  </si>
  <si>
    <t>Demi-angle au sommet du filet en rad</t>
  </si>
  <si>
    <t>α/2</t>
  </si>
  <si>
    <r>
      <t xml:space="preserve">α / 2 = 2 . </t>
    </r>
    <r>
      <rPr>
        <sz val="8"/>
        <rFont val="Arial"/>
        <family val="2"/>
      </rPr>
      <t>π</t>
    </r>
    <r>
      <rPr>
        <sz val="8"/>
        <rFont val="Arial"/>
        <family val="2"/>
      </rPr>
      <t xml:space="preserve"> . α / ( 2 . 360 )</t>
    </r>
  </si>
  <si>
    <t>Diamètre moyen en mm</t>
  </si>
  <si>
    <t>Dm</t>
  </si>
  <si>
    <t>Dm = Dnom - ( P / 2 / Nf )</t>
  </si>
  <si>
    <t>Vitesse angulaire en rad.s-1</t>
  </si>
  <si>
    <t>Va</t>
  </si>
  <si>
    <t>Va = Vz . 2 . π / P</t>
  </si>
  <si>
    <t>Couple utile de montée en N.m</t>
  </si>
  <si>
    <t>Cum</t>
  </si>
  <si>
    <t>Cum = Fv . P / 2 . π</t>
  </si>
  <si>
    <t>Couple utile de descente en N.m</t>
  </si>
  <si>
    <t>Cud</t>
  </si>
  <si>
    <t>Cud = - Cum ( charge motrice )</t>
  </si>
  <si>
    <r>
      <t xml:space="preserve">Couple total en montée en N.m </t>
    </r>
    <r>
      <rPr>
        <sz val="8"/>
        <color indexed="10"/>
        <rFont val="Arial"/>
        <family val="2"/>
      </rPr>
      <t>*</t>
    </r>
  </si>
  <si>
    <t>Cm = Fv . Dm/2 (P + π . f . Dm/cos (α/2) ) / ( π . Dm - f . P / cos (α/2) )</t>
  </si>
  <si>
    <r>
      <t xml:space="preserve">Couple total en descente en N.m </t>
    </r>
    <r>
      <rPr>
        <sz val="8"/>
        <color indexed="10"/>
        <rFont val="Arial"/>
        <family val="2"/>
      </rPr>
      <t>*</t>
    </r>
  </si>
  <si>
    <t>Cd = Fv . Dm/2 ( π . f . Dm/cos (α/2) - P) / (π . Dm + f . P /cos(α/2) )</t>
  </si>
  <si>
    <t>Couple de frottement  en montée en N.m</t>
  </si>
  <si>
    <t>Cfm</t>
  </si>
  <si>
    <t>Cfm = Cm - Cum</t>
  </si>
  <si>
    <t>Couple de frottement  en descente en N.m</t>
  </si>
  <si>
    <t>Cfd</t>
  </si>
  <si>
    <t xml:space="preserve">Cfd = Cd - Cud </t>
  </si>
  <si>
    <t>Couple de frottement  collerette/appui en N.m</t>
  </si>
  <si>
    <t>Capp = Fv . Fapp . (DmaxApp+DminApp)/2</t>
  </si>
  <si>
    <t>Pf = Cfm . Va</t>
  </si>
  <si>
    <t>Pm = Cm . Va</t>
  </si>
  <si>
    <t>Papp = Capp . Va</t>
  </si>
  <si>
    <t>Surface de contact d'un filet en mm2</t>
  </si>
  <si>
    <t>Sc</t>
  </si>
  <si>
    <t>Sc = π . Dm . P/2/Nf</t>
  </si>
  <si>
    <t>Nombre théorique de filets en contact</t>
  </si>
  <si>
    <t>Ntf</t>
  </si>
  <si>
    <t>Ntf = H / P * Nf</t>
  </si>
  <si>
    <t>Nombre pratique de filets en contact</t>
  </si>
  <si>
    <t>Npf</t>
  </si>
  <si>
    <t>Npf = 1,5 . Dnom / P</t>
  </si>
  <si>
    <t>Surface de contact totale en mm2</t>
  </si>
  <si>
    <t>Sct</t>
  </si>
  <si>
    <t>Sct = Sc . Npf</t>
  </si>
  <si>
    <t>Section  1 filet écrou au D nominal  vis en mm2</t>
  </si>
  <si>
    <t>S1</t>
  </si>
  <si>
    <t>S1 = π . Dnom . P/ Nf / 2 ( 1+ tan(a/2) )</t>
  </si>
  <si>
    <t>Section  filet écrou au D nominal  vis en mm2</t>
  </si>
  <si>
    <t>Scis</t>
  </si>
  <si>
    <t>Scis = S1 . Npf</t>
  </si>
  <si>
    <t>Prf = Fv / Sct</t>
  </si>
  <si>
    <t>Vmf = Dm/2 . Va</t>
  </si>
  <si>
    <t>PrApp = =Fv/(π*(DminApp²-DmaxApp²)/4)</t>
  </si>
  <si>
    <t>Vitesse moyenne de frottement collerette en m.s-1</t>
  </si>
  <si>
    <t>VmApp =  (DmaxApp+DminApp)/2 . Va</t>
  </si>
  <si>
    <t>Ncis = Fv / Scis</t>
  </si>
  <si>
    <t>Voir feuille vis-écrou pour calcul couple, puissance…etc</t>
  </si>
  <si>
    <t>L = OA</t>
  </si>
  <si>
    <t>Entrez vos valeurs dans les cellules jaunes</t>
  </si>
  <si>
    <t>Calcul effort par travaux virtuels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</si>
</sst>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4"/>
      <color theme="1"/>
      <name val="Calibri"/>
      <family val="2"/>
    </font>
    <font>
      <sz val="10"/>
      <name val="MS Sans Serif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10"/>
      <name val="Symbol"/>
      <family val="1"/>
      <charset val="2"/>
    </font>
    <font>
      <sz val="8"/>
      <color indexed="10"/>
      <name val="Arial"/>
      <family val="2"/>
    </font>
    <font>
      <b/>
      <sz val="10"/>
      <name val="MS Sans Serif"/>
      <family val="2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medium">
        <color indexed="64"/>
      </right>
      <top/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medium">
        <color indexed="64"/>
      </right>
      <top style="thin">
        <color indexed="22"/>
      </top>
      <bottom/>
      <diagonal/>
    </border>
    <border>
      <left style="medium">
        <color indexed="64"/>
      </left>
      <right style="thin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96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/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 applyAlignment="1"/>
    <xf numFmtId="0" fontId="7" fillId="0" borderId="0" xfId="1" applyFont="1"/>
    <xf numFmtId="0" fontId="8" fillId="0" borderId="0" xfId="1" applyFont="1"/>
    <xf numFmtId="0" fontId="9" fillId="0" borderId="0" xfId="1" applyFont="1"/>
    <xf numFmtId="0" fontId="7" fillId="0" borderId="0" xfId="1" applyFont="1" applyBorder="1" applyAlignment="1"/>
    <xf numFmtId="0" fontId="9" fillId="0" borderId="8" xfId="1" applyFont="1" applyBorder="1"/>
    <xf numFmtId="0" fontId="6" fillId="0" borderId="9" xfId="1" applyFont="1" applyBorder="1" applyAlignment="1">
      <alignment horizontal="center"/>
    </xf>
    <xf numFmtId="1" fontId="7" fillId="4" borderId="10" xfId="1" applyNumberFormat="1" applyFont="1" applyFill="1" applyBorder="1" applyAlignment="1">
      <alignment horizontal="center"/>
    </xf>
    <xf numFmtId="0" fontId="7" fillId="0" borderId="0" xfId="1" applyFont="1" applyAlignment="1">
      <alignment horizontal="center"/>
    </xf>
    <xf numFmtId="0" fontId="9" fillId="0" borderId="11" xfId="1" applyFont="1" applyBorder="1"/>
    <xf numFmtId="0" fontId="6" fillId="0" borderId="12" xfId="1" applyFont="1" applyBorder="1" applyAlignment="1">
      <alignment horizontal="center"/>
    </xf>
    <xf numFmtId="0" fontId="7" fillId="4" borderId="13" xfId="1" applyFont="1" applyFill="1" applyBorder="1" applyAlignment="1">
      <alignment horizontal="center"/>
    </xf>
    <xf numFmtId="0" fontId="7" fillId="0" borderId="13" xfId="1" applyFont="1" applyBorder="1" applyAlignment="1">
      <alignment horizontal="center"/>
    </xf>
    <xf numFmtId="0" fontId="9" fillId="0" borderId="11" xfId="1" applyFont="1" applyBorder="1" applyAlignment="1">
      <alignment vertical="top"/>
    </xf>
    <xf numFmtId="0" fontId="7" fillId="0" borderId="0" xfId="1" applyFont="1" applyAlignment="1">
      <alignment horizontal="center" vertical="top"/>
    </xf>
    <xf numFmtId="0" fontId="8" fillId="0" borderId="0" xfId="1" applyFont="1" applyAlignment="1">
      <alignment vertical="top"/>
    </xf>
    <xf numFmtId="0" fontId="10" fillId="0" borderId="0" xfId="1" applyFont="1"/>
    <xf numFmtId="0" fontId="6" fillId="0" borderId="14" xfId="1" applyFont="1" applyBorder="1" applyAlignment="1">
      <alignment horizontal="center"/>
    </xf>
    <xf numFmtId="0" fontId="7" fillId="4" borderId="15" xfId="1" applyFont="1" applyFill="1" applyBorder="1" applyAlignment="1">
      <alignment horizontal="center"/>
    </xf>
    <xf numFmtId="0" fontId="7" fillId="0" borderId="0" xfId="1" applyFont="1" applyAlignment="1">
      <alignment vertical="top"/>
    </xf>
    <xf numFmtId="0" fontId="9" fillId="0" borderId="16" xfId="1" applyFont="1" applyBorder="1"/>
    <xf numFmtId="0" fontId="6" fillId="0" borderId="17" xfId="1" applyFont="1" applyBorder="1" applyAlignment="1">
      <alignment horizontal="center"/>
    </xf>
    <xf numFmtId="0" fontId="7" fillId="4" borderId="18" xfId="1" applyFont="1" applyFill="1" applyBorder="1" applyAlignment="1">
      <alignment horizontal="center"/>
    </xf>
    <xf numFmtId="0" fontId="6" fillId="0" borderId="0" xfId="1" applyFont="1" applyBorder="1" applyAlignment="1"/>
    <xf numFmtId="2" fontId="7" fillId="0" borderId="0" xfId="1" applyNumberFormat="1" applyFont="1" applyBorder="1" applyAlignment="1">
      <alignment vertical="center" wrapText="1"/>
    </xf>
    <xf numFmtId="0" fontId="4" fillId="0" borderId="20" xfId="1" applyBorder="1" applyAlignment="1">
      <alignment vertical="center" wrapText="1"/>
    </xf>
    <xf numFmtId="0" fontId="7" fillId="0" borderId="19" xfId="1" applyFont="1" applyBorder="1" applyAlignment="1">
      <alignment horizontal="center"/>
    </xf>
    <xf numFmtId="0" fontId="9" fillId="0" borderId="21" xfId="1" applyFont="1" applyBorder="1"/>
    <xf numFmtId="0" fontId="6" fillId="0" borderId="22" xfId="1" applyFont="1" applyBorder="1" applyAlignment="1">
      <alignment horizontal="center"/>
    </xf>
    <xf numFmtId="2" fontId="7" fillId="6" borderId="23" xfId="1" applyNumberFormat="1" applyFont="1" applyFill="1" applyBorder="1" applyAlignment="1">
      <alignment horizontal="center"/>
    </xf>
    <xf numFmtId="0" fontId="4" fillId="0" borderId="0" xfId="1" applyBorder="1" applyAlignment="1">
      <alignment vertical="center" wrapText="1"/>
    </xf>
    <xf numFmtId="0" fontId="4" fillId="0" borderId="20" xfId="1" applyBorder="1" applyAlignment="1">
      <alignment horizontal="center" vertical="center" wrapText="1"/>
    </xf>
    <xf numFmtId="17" fontId="7" fillId="0" borderId="19" xfId="1" applyNumberFormat="1" applyFont="1" applyBorder="1" applyAlignment="1">
      <alignment horizontal="center"/>
    </xf>
    <xf numFmtId="0" fontId="9" fillId="0" borderId="24" xfId="1" applyFont="1" applyBorder="1"/>
    <xf numFmtId="0" fontId="6" fillId="0" borderId="3" xfId="1" applyFont="1" applyBorder="1" applyAlignment="1">
      <alignment horizontal="center"/>
    </xf>
    <xf numFmtId="2" fontId="7" fillId="6" borderId="25" xfId="1" applyNumberFormat="1" applyFont="1" applyFill="1" applyBorder="1" applyAlignment="1">
      <alignment horizontal="center"/>
    </xf>
    <xf numFmtId="2" fontId="7" fillId="0" borderId="0" xfId="1" applyNumberFormat="1" applyFont="1" applyBorder="1" applyAlignment="1">
      <alignment horizontal="center"/>
    </xf>
    <xf numFmtId="0" fontId="7" fillId="6" borderId="25" xfId="1" applyNumberFormat="1" applyFont="1" applyFill="1" applyBorder="1" applyAlignment="1">
      <alignment horizontal="center"/>
    </xf>
    <xf numFmtId="0" fontId="8" fillId="0" borderId="0" xfId="1" applyFont="1" applyBorder="1" applyAlignment="1"/>
    <xf numFmtId="0" fontId="8" fillId="0" borderId="20" xfId="1" applyFont="1" applyBorder="1" applyAlignment="1"/>
    <xf numFmtId="2" fontId="7" fillId="0" borderId="0" xfId="1" applyNumberFormat="1" applyFont="1" applyAlignment="1">
      <alignment horizontal="center"/>
    </xf>
    <xf numFmtId="0" fontId="7" fillId="0" borderId="26" xfId="1" applyFont="1" applyBorder="1" applyAlignment="1"/>
    <xf numFmtId="0" fontId="9" fillId="0" borderId="27" xfId="1" applyFont="1" applyBorder="1"/>
    <xf numFmtId="0" fontId="6" fillId="0" borderId="28" xfId="1" applyFont="1" applyBorder="1" applyAlignment="1">
      <alignment horizontal="center"/>
    </xf>
    <xf numFmtId="0" fontId="7" fillId="6" borderId="29" xfId="1" applyNumberFormat="1" applyFont="1" applyFill="1" applyBorder="1" applyAlignment="1">
      <alignment horizontal="center"/>
    </xf>
    <xf numFmtId="0" fontId="9" fillId="0" borderId="0" xfId="1" applyFont="1" applyBorder="1"/>
    <xf numFmtId="0" fontId="6" fillId="0" borderId="0" xfId="1" applyFont="1" applyBorder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1" fontId="7" fillId="6" borderId="29" xfId="1" applyNumberFormat="1" applyFont="1" applyFill="1" applyBorder="1" applyAlignment="1">
      <alignment horizontal="center"/>
    </xf>
    <xf numFmtId="0" fontId="9" fillId="0" borderId="0" xfId="1" applyFont="1" applyAlignment="1">
      <alignment horizontal="right"/>
    </xf>
    <xf numFmtId="1" fontId="7" fillId="0" borderId="0" xfId="1" applyNumberFormat="1" applyFont="1" applyAlignment="1"/>
    <xf numFmtId="0" fontId="8" fillId="0" borderId="8" xfId="1" applyFont="1" applyBorder="1"/>
    <xf numFmtId="2" fontId="7" fillId="0" borderId="10" xfId="1" applyNumberFormat="1" applyFont="1" applyBorder="1" applyAlignment="1"/>
    <xf numFmtId="0" fontId="8" fillId="0" borderId="11" xfId="1" applyFont="1" applyBorder="1"/>
    <xf numFmtId="2" fontId="7" fillId="0" borderId="13" xfId="1" applyNumberFormat="1" applyFont="1" applyBorder="1" applyAlignment="1"/>
    <xf numFmtId="0" fontId="4" fillId="0" borderId="0" xfId="1"/>
    <xf numFmtId="0" fontId="12" fillId="0" borderId="12" xfId="1" applyFont="1" applyBorder="1" applyAlignment="1">
      <alignment horizontal="center"/>
    </xf>
    <xf numFmtId="0" fontId="4" fillId="0" borderId="11" xfId="1" applyFont="1" applyBorder="1"/>
    <xf numFmtId="0" fontId="14" fillId="0" borderId="12" xfId="1" applyFont="1" applyBorder="1"/>
    <xf numFmtId="0" fontId="4" fillId="0" borderId="13" xfId="1" applyBorder="1" applyAlignment="1"/>
    <xf numFmtId="0" fontId="8" fillId="0" borderId="16" xfId="1" applyFont="1" applyBorder="1"/>
    <xf numFmtId="2" fontId="7" fillId="0" borderId="18" xfId="1" applyNumberFormat="1" applyFont="1" applyBorder="1" applyAlignment="1"/>
    <xf numFmtId="2" fontId="7" fillId="0" borderId="0" xfId="1" applyNumberFormat="1" applyFont="1" applyAlignment="1"/>
    <xf numFmtId="0" fontId="15" fillId="0" borderId="0" xfId="0" applyFont="1" applyAlignment="1"/>
    <xf numFmtId="0" fontId="11" fillId="0" borderId="0" xfId="1" applyFont="1"/>
    <xf numFmtId="0" fontId="0" fillId="0" borderId="2" xfId="0" applyBorder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5" xfId="1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2" fontId="6" fillId="7" borderId="0" xfId="1" applyNumberFormat="1" applyFont="1" applyFill="1" applyAlignment="1">
      <alignment horizontal="center" vertical="center"/>
    </xf>
    <xf numFmtId="0" fontId="8" fillId="0" borderId="0" xfId="1" applyFont="1" applyAlignment="1">
      <alignment vertical="center" wrapText="1"/>
    </xf>
    <xf numFmtId="0" fontId="7" fillId="0" borderId="0" xfId="1" applyFont="1" applyAlignment="1">
      <alignment vertical="center" wrapText="1"/>
    </xf>
    <xf numFmtId="0" fontId="7" fillId="0" borderId="12" xfId="1" applyFont="1" applyBorder="1" applyAlignment="1">
      <alignment horizontal="center" vertical="top" wrapText="1"/>
    </xf>
    <xf numFmtId="0" fontId="7" fillId="0" borderId="13" xfId="1" applyFont="1" applyBorder="1" applyAlignment="1">
      <alignment horizontal="center" vertical="top" wrapText="1"/>
    </xf>
    <xf numFmtId="0" fontId="7" fillId="0" borderId="12" xfId="1" applyFont="1" applyBorder="1" applyAlignment="1">
      <alignment horizontal="center"/>
    </xf>
    <xf numFmtId="0" fontId="7" fillId="0" borderId="13" xfId="1" applyFont="1" applyBorder="1" applyAlignment="1">
      <alignment horizontal="center"/>
    </xf>
    <xf numFmtId="0" fontId="7" fillId="5" borderId="19" xfId="1" applyFont="1" applyFill="1" applyBorder="1" applyAlignment="1">
      <alignment horizontal="center" vertical="top"/>
    </xf>
    <xf numFmtId="0" fontId="7" fillId="0" borderId="19" xfId="1" applyFont="1" applyBorder="1" applyAlignment="1">
      <alignment horizontal="center" vertical="center" wrapText="1"/>
    </xf>
    <xf numFmtId="0" fontId="4" fillId="0" borderId="19" xfId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251460</xdr:colOff>
      <xdr:row>17</xdr:row>
      <xdr:rowOff>175260</xdr:rowOff>
    </xdr:from>
    <xdr:to>
      <xdr:col>3</xdr:col>
      <xdr:colOff>685800</xdr:colOff>
      <xdr:row>21</xdr:row>
      <xdr:rowOff>45720</xdr:rowOff>
    </xdr:to>
    <xdr:grpSp>
      <xdr:nvGrpSpPr>
        <xdr:cNvPr id="25" name="Groupe 24"/>
        <xdr:cNvGrpSpPr/>
      </xdr:nvGrpSpPr>
      <xdr:grpSpPr>
        <a:xfrm>
          <a:off x="1836420" y="3284220"/>
          <a:ext cx="1226820" cy="601980"/>
          <a:chOff x="1836420" y="3101340"/>
          <a:chExt cx="1226820" cy="601980"/>
        </a:xfrm>
      </xdr:grpSpPr>
      <xdr:cxnSp macro="">
        <xdr:nvCxnSpPr>
          <xdr:cNvPr id="4" name="Connecteur droit 3"/>
          <xdr:cNvCxnSpPr/>
        </xdr:nvCxnSpPr>
        <xdr:spPr>
          <a:xfrm rot="1800000">
            <a:off x="1859280" y="3101340"/>
            <a:ext cx="1203960" cy="0"/>
          </a:xfrm>
          <a:prstGeom prst="line">
            <a:avLst/>
          </a:prstGeom>
          <a:ln w="19050"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Connecteur droit 4"/>
          <xdr:cNvCxnSpPr/>
        </xdr:nvCxnSpPr>
        <xdr:spPr>
          <a:xfrm rot="-1800000">
            <a:off x="1836420" y="3703320"/>
            <a:ext cx="1203960" cy="0"/>
          </a:xfrm>
          <a:prstGeom prst="line">
            <a:avLst/>
          </a:prstGeom>
          <a:ln w="19050"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327660</xdr:colOff>
      <xdr:row>16</xdr:row>
      <xdr:rowOff>30480</xdr:rowOff>
    </xdr:from>
    <xdr:to>
      <xdr:col>2</xdr:col>
      <xdr:colOff>373380</xdr:colOff>
      <xdr:row>16</xdr:row>
      <xdr:rowOff>76200</xdr:rowOff>
    </xdr:to>
    <xdr:sp macro="" textlink="">
      <xdr:nvSpPr>
        <xdr:cNvPr id="6" name="Ellipse 5"/>
        <xdr:cNvSpPr/>
      </xdr:nvSpPr>
      <xdr:spPr>
        <a:xfrm>
          <a:off x="1912620" y="2773680"/>
          <a:ext cx="45720" cy="4572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327660</xdr:colOff>
      <xdr:row>22</xdr:row>
      <xdr:rowOff>129540</xdr:rowOff>
    </xdr:from>
    <xdr:to>
      <xdr:col>2</xdr:col>
      <xdr:colOff>373380</xdr:colOff>
      <xdr:row>22</xdr:row>
      <xdr:rowOff>175260</xdr:rowOff>
    </xdr:to>
    <xdr:sp macro="" textlink="">
      <xdr:nvSpPr>
        <xdr:cNvPr id="7" name="Ellipse 6"/>
        <xdr:cNvSpPr/>
      </xdr:nvSpPr>
      <xdr:spPr>
        <a:xfrm>
          <a:off x="1912620" y="3970020"/>
          <a:ext cx="45720" cy="4572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556260</xdr:colOff>
      <xdr:row>19</xdr:row>
      <xdr:rowOff>68580</xdr:rowOff>
    </xdr:from>
    <xdr:to>
      <xdr:col>3</xdr:col>
      <xdr:colOff>601980</xdr:colOff>
      <xdr:row>19</xdr:row>
      <xdr:rowOff>114300</xdr:rowOff>
    </xdr:to>
    <xdr:sp macro="" textlink="">
      <xdr:nvSpPr>
        <xdr:cNvPr id="8" name="Ellipse 7"/>
        <xdr:cNvSpPr/>
      </xdr:nvSpPr>
      <xdr:spPr>
        <a:xfrm>
          <a:off x="2933700" y="3360420"/>
          <a:ext cx="45720" cy="4572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350520</xdr:colOff>
      <xdr:row>12</xdr:row>
      <xdr:rowOff>160020</xdr:rowOff>
    </xdr:from>
    <xdr:to>
      <xdr:col>2</xdr:col>
      <xdr:colOff>350520</xdr:colOff>
      <xdr:row>24</xdr:row>
      <xdr:rowOff>76200</xdr:rowOff>
    </xdr:to>
    <xdr:cxnSp macro="">
      <xdr:nvCxnSpPr>
        <xdr:cNvPr id="10" name="Connecteur droit avec flèche 9"/>
        <xdr:cNvCxnSpPr/>
      </xdr:nvCxnSpPr>
      <xdr:spPr>
        <a:xfrm flipV="1">
          <a:off x="1935480" y="2171700"/>
          <a:ext cx="0" cy="2110740"/>
        </a:xfrm>
        <a:prstGeom prst="straightConnector1">
          <a:avLst/>
        </a:prstGeom>
        <a:ln>
          <a:solidFill>
            <a:schemeClr val="bg1">
              <a:lumMod val="65000"/>
            </a:schemeClr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735330</xdr:colOff>
      <xdr:row>22</xdr:row>
      <xdr:rowOff>148590</xdr:rowOff>
    </xdr:from>
    <xdr:to>
      <xdr:col>4</xdr:col>
      <xdr:colOff>251460</xdr:colOff>
      <xdr:row>22</xdr:row>
      <xdr:rowOff>148590</xdr:rowOff>
    </xdr:to>
    <xdr:cxnSp macro="">
      <xdr:nvCxnSpPr>
        <xdr:cNvPr id="11" name="Connecteur droit avec flèche 10"/>
        <xdr:cNvCxnSpPr/>
      </xdr:nvCxnSpPr>
      <xdr:spPr>
        <a:xfrm>
          <a:off x="1527810" y="3989070"/>
          <a:ext cx="1893570" cy="0"/>
        </a:xfrm>
        <a:prstGeom prst="straightConnector1">
          <a:avLst/>
        </a:prstGeom>
        <a:ln>
          <a:solidFill>
            <a:schemeClr val="bg1">
              <a:lumMod val="65000"/>
            </a:schemeClr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144780</xdr:colOff>
      <xdr:row>19</xdr:row>
      <xdr:rowOff>95250</xdr:rowOff>
    </xdr:from>
    <xdr:to>
      <xdr:col>3</xdr:col>
      <xdr:colOff>560070</xdr:colOff>
      <xdr:row>19</xdr:row>
      <xdr:rowOff>95250</xdr:rowOff>
    </xdr:to>
    <xdr:cxnSp macro="">
      <xdr:nvCxnSpPr>
        <xdr:cNvPr id="12" name="Connecteur droit avec flèche 11"/>
        <xdr:cNvCxnSpPr/>
      </xdr:nvCxnSpPr>
      <xdr:spPr>
        <a:xfrm flipH="1">
          <a:off x="2522220" y="3387090"/>
          <a:ext cx="415290" cy="0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352425</xdr:colOff>
      <xdr:row>16</xdr:row>
      <xdr:rowOff>76200</xdr:rowOff>
    </xdr:from>
    <xdr:to>
      <xdr:col>2</xdr:col>
      <xdr:colOff>352425</xdr:colOff>
      <xdr:row>17</xdr:row>
      <xdr:rowOff>158115</xdr:rowOff>
    </xdr:to>
    <xdr:cxnSp macro="">
      <xdr:nvCxnSpPr>
        <xdr:cNvPr id="14" name="Connecteur droit avec flèche 13"/>
        <xdr:cNvCxnSpPr/>
      </xdr:nvCxnSpPr>
      <xdr:spPr>
        <a:xfrm>
          <a:off x="1937385" y="2819400"/>
          <a:ext cx="0" cy="264795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358140</xdr:colOff>
      <xdr:row>12</xdr:row>
      <xdr:rowOff>114300</xdr:rowOff>
    </xdr:from>
    <xdr:to>
      <xdr:col>2</xdr:col>
      <xdr:colOff>632460</xdr:colOff>
      <xdr:row>13</xdr:row>
      <xdr:rowOff>144780</xdr:rowOff>
    </xdr:to>
    <xdr:sp macro="" textlink="">
      <xdr:nvSpPr>
        <xdr:cNvPr id="16" name="ZoneTexte 15"/>
        <xdr:cNvSpPr txBox="1"/>
      </xdr:nvSpPr>
      <xdr:spPr>
        <a:xfrm>
          <a:off x="1943100" y="2125980"/>
          <a:ext cx="274320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Y</a:t>
          </a:r>
        </a:p>
      </xdr:txBody>
    </xdr:sp>
    <xdr:clientData/>
  </xdr:twoCellAnchor>
  <xdr:twoCellAnchor>
    <xdr:from>
      <xdr:col>4</xdr:col>
      <xdr:colOff>30480</xdr:colOff>
      <xdr:row>21</xdr:row>
      <xdr:rowOff>68580</xdr:rowOff>
    </xdr:from>
    <xdr:to>
      <xdr:col>4</xdr:col>
      <xdr:colOff>304800</xdr:colOff>
      <xdr:row>22</xdr:row>
      <xdr:rowOff>99060</xdr:rowOff>
    </xdr:to>
    <xdr:sp macro="" textlink="">
      <xdr:nvSpPr>
        <xdr:cNvPr id="17" name="ZoneTexte 16"/>
        <xdr:cNvSpPr txBox="1"/>
      </xdr:nvSpPr>
      <xdr:spPr>
        <a:xfrm>
          <a:off x="3200400" y="3726180"/>
          <a:ext cx="274320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X</a:t>
          </a:r>
        </a:p>
      </xdr:txBody>
    </xdr:sp>
    <xdr:clientData/>
  </xdr:twoCellAnchor>
  <xdr:twoCellAnchor>
    <xdr:from>
      <xdr:col>3</xdr:col>
      <xdr:colOff>571500</xdr:colOff>
      <xdr:row>18</xdr:row>
      <xdr:rowOff>137160</xdr:rowOff>
    </xdr:from>
    <xdr:to>
      <xdr:col>4</xdr:col>
      <xdr:colOff>53340</xdr:colOff>
      <xdr:row>19</xdr:row>
      <xdr:rowOff>167640</xdr:rowOff>
    </xdr:to>
    <xdr:sp macro="" textlink="">
      <xdr:nvSpPr>
        <xdr:cNvPr id="18" name="ZoneTexte 17"/>
        <xdr:cNvSpPr txBox="1"/>
      </xdr:nvSpPr>
      <xdr:spPr>
        <a:xfrm>
          <a:off x="2948940" y="3246120"/>
          <a:ext cx="274320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A</a:t>
          </a:r>
        </a:p>
      </xdr:txBody>
    </xdr:sp>
    <xdr:clientData/>
  </xdr:twoCellAnchor>
  <xdr:twoCellAnchor>
    <xdr:from>
      <xdr:col>2</xdr:col>
      <xdr:colOff>99060</xdr:colOff>
      <xdr:row>15</xdr:row>
      <xdr:rowOff>45720</xdr:rowOff>
    </xdr:from>
    <xdr:to>
      <xdr:col>2</xdr:col>
      <xdr:colOff>373380</xdr:colOff>
      <xdr:row>16</xdr:row>
      <xdr:rowOff>76200</xdr:rowOff>
    </xdr:to>
    <xdr:sp macro="" textlink="">
      <xdr:nvSpPr>
        <xdr:cNvPr id="19" name="ZoneTexte 18"/>
        <xdr:cNvSpPr txBox="1"/>
      </xdr:nvSpPr>
      <xdr:spPr>
        <a:xfrm>
          <a:off x="1684020" y="2606040"/>
          <a:ext cx="274320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B</a:t>
          </a:r>
        </a:p>
      </xdr:txBody>
    </xdr:sp>
    <xdr:clientData/>
  </xdr:twoCellAnchor>
  <xdr:twoCellAnchor>
    <xdr:from>
      <xdr:col>2</xdr:col>
      <xdr:colOff>83820</xdr:colOff>
      <xdr:row>22</xdr:row>
      <xdr:rowOff>144780</xdr:rowOff>
    </xdr:from>
    <xdr:to>
      <xdr:col>2</xdr:col>
      <xdr:colOff>358140</xdr:colOff>
      <xdr:row>23</xdr:row>
      <xdr:rowOff>175260</xdr:rowOff>
    </xdr:to>
    <xdr:sp macro="" textlink="">
      <xdr:nvSpPr>
        <xdr:cNvPr id="20" name="ZoneTexte 19"/>
        <xdr:cNvSpPr txBox="1"/>
      </xdr:nvSpPr>
      <xdr:spPr>
        <a:xfrm>
          <a:off x="1668780" y="3985260"/>
          <a:ext cx="274320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O</a:t>
          </a:r>
        </a:p>
      </xdr:txBody>
    </xdr:sp>
    <xdr:clientData/>
  </xdr:twoCellAnchor>
  <xdr:twoCellAnchor>
    <xdr:from>
      <xdr:col>1</xdr:col>
      <xdr:colOff>777240</xdr:colOff>
      <xdr:row>16</xdr:row>
      <xdr:rowOff>137160</xdr:rowOff>
    </xdr:from>
    <xdr:to>
      <xdr:col>2</xdr:col>
      <xdr:colOff>373380</xdr:colOff>
      <xdr:row>17</xdr:row>
      <xdr:rowOff>167640</xdr:rowOff>
    </xdr:to>
    <xdr:sp macro="" textlink="">
      <xdr:nvSpPr>
        <xdr:cNvPr id="21" name="ZoneTexte 20"/>
        <xdr:cNvSpPr txBox="1"/>
      </xdr:nvSpPr>
      <xdr:spPr>
        <a:xfrm>
          <a:off x="1569720" y="2880360"/>
          <a:ext cx="388620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>
              <a:solidFill>
                <a:srgbClr val="FF0000"/>
              </a:solidFill>
            </a:rPr>
            <a:t>Fch</a:t>
          </a:r>
        </a:p>
      </xdr:txBody>
    </xdr:sp>
    <xdr:clientData/>
  </xdr:twoCellAnchor>
  <xdr:twoCellAnchor>
    <xdr:from>
      <xdr:col>2</xdr:col>
      <xdr:colOff>533400</xdr:colOff>
      <xdr:row>18</xdr:row>
      <xdr:rowOff>144780</xdr:rowOff>
    </xdr:from>
    <xdr:to>
      <xdr:col>3</xdr:col>
      <xdr:colOff>167640</xdr:colOff>
      <xdr:row>19</xdr:row>
      <xdr:rowOff>175260</xdr:rowOff>
    </xdr:to>
    <xdr:sp macro="" textlink="">
      <xdr:nvSpPr>
        <xdr:cNvPr id="22" name="ZoneTexte 21"/>
        <xdr:cNvSpPr txBox="1"/>
      </xdr:nvSpPr>
      <xdr:spPr>
        <a:xfrm>
          <a:off x="2118360" y="3253740"/>
          <a:ext cx="426720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>
              <a:solidFill>
                <a:srgbClr val="FF0000"/>
              </a:solidFill>
            </a:rPr>
            <a:t>Fvis</a:t>
          </a:r>
        </a:p>
      </xdr:txBody>
    </xdr:sp>
    <xdr:clientData/>
  </xdr:twoCellAnchor>
  <xdr:twoCellAnchor>
    <xdr:from>
      <xdr:col>1</xdr:col>
      <xdr:colOff>0</xdr:colOff>
      <xdr:row>17</xdr:row>
      <xdr:rowOff>175260</xdr:rowOff>
    </xdr:from>
    <xdr:to>
      <xdr:col>2</xdr:col>
      <xdr:colOff>434340</xdr:colOff>
      <xdr:row>21</xdr:row>
      <xdr:rowOff>45720</xdr:rowOff>
    </xdr:to>
    <xdr:grpSp>
      <xdr:nvGrpSpPr>
        <xdr:cNvPr id="26" name="Groupe 25"/>
        <xdr:cNvGrpSpPr/>
      </xdr:nvGrpSpPr>
      <xdr:grpSpPr>
        <a:xfrm flipH="1">
          <a:off x="792480" y="3284220"/>
          <a:ext cx="1226820" cy="601980"/>
          <a:chOff x="1836420" y="3101340"/>
          <a:chExt cx="1226820" cy="601980"/>
        </a:xfrm>
      </xdr:grpSpPr>
      <xdr:cxnSp macro="">
        <xdr:nvCxnSpPr>
          <xdr:cNvPr id="27" name="Connecteur droit 26"/>
          <xdr:cNvCxnSpPr/>
        </xdr:nvCxnSpPr>
        <xdr:spPr>
          <a:xfrm rot="1800000">
            <a:off x="1859280" y="3101340"/>
            <a:ext cx="1203960" cy="0"/>
          </a:xfrm>
          <a:prstGeom prst="line">
            <a:avLst/>
          </a:prstGeom>
          <a:ln w="9525">
            <a:solidFill>
              <a:srgbClr val="0070C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Connecteur droit 27"/>
          <xdr:cNvCxnSpPr/>
        </xdr:nvCxnSpPr>
        <xdr:spPr>
          <a:xfrm rot="-1800000">
            <a:off x="1836420" y="3703320"/>
            <a:ext cx="1203960" cy="0"/>
          </a:xfrm>
          <a:prstGeom prst="line">
            <a:avLst/>
          </a:prstGeom>
          <a:ln w="9525">
            <a:solidFill>
              <a:srgbClr val="0070C0"/>
            </a:solidFill>
            <a:prstDash val="dash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647700</xdr:colOff>
      <xdr:row>18</xdr:row>
      <xdr:rowOff>137160</xdr:rowOff>
    </xdr:from>
    <xdr:to>
      <xdr:col>1</xdr:col>
      <xdr:colOff>198120</xdr:colOff>
      <xdr:row>19</xdr:row>
      <xdr:rowOff>167640</xdr:rowOff>
    </xdr:to>
    <xdr:sp macro="" textlink="">
      <xdr:nvSpPr>
        <xdr:cNvPr id="29" name="ZoneTexte 28"/>
        <xdr:cNvSpPr txBox="1"/>
      </xdr:nvSpPr>
      <xdr:spPr>
        <a:xfrm>
          <a:off x="647700" y="3246120"/>
          <a:ext cx="342900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A'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144780</xdr:colOff>
      <xdr:row>24</xdr:row>
      <xdr:rowOff>0</xdr:rowOff>
    </xdr:from>
    <xdr:to>
      <xdr:col>5</xdr:col>
      <xdr:colOff>60960</xdr:colOff>
      <xdr:row>26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4625340" y="3909060"/>
          <a:ext cx="99060" cy="335280"/>
        </a:xfrm>
        <a:prstGeom prst="rightBrace">
          <a:avLst>
            <a:gd name="adj1" fmla="val 2948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1219200</xdr:colOff>
      <xdr:row>23</xdr:row>
      <xdr:rowOff>152400</xdr:rowOff>
    </xdr:from>
    <xdr:to>
      <xdr:col>5</xdr:col>
      <xdr:colOff>1295400</xdr:colOff>
      <xdr:row>27</xdr:row>
      <xdr:rowOff>144780</xdr:rowOff>
    </xdr:to>
    <xdr:sp macro="" textlink="">
      <xdr:nvSpPr>
        <xdr:cNvPr id="3" name="AutoShape 2"/>
        <xdr:cNvSpPr>
          <a:spLocks/>
        </xdr:cNvSpPr>
      </xdr:nvSpPr>
      <xdr:spPr bwMode="auto">
        <a:xfrm flipH="1">
          <a:off x="5882640" y="4084320"/>
          <a:ext cx="76200" cy="670560"/>
        </a:xfrm>
        <a:prstGeom prst="rightBrace">
          <a:avLst>
            <a:gd name="adj1" fmla="val 7500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</xdr:col>
      <xdr:colOff>76200</xdr:colOff>
      <xdr:row>29</xdr:row>
      <xdr:rowOff>106680</xdr:rowOff>
    </xdr:from>
    <xdr:to>
      <xdr:col>6</xdr:col>
      <xdr:colOff>723900</xdr:colOff>
      <xdr:row>31</xdr:row>
      <xdr:rowOff>152400</xdr:rowOff>
    </xdr:to>
    <xdr:sp macro="" textlink="">
      <xdr:nvSpPr>
        <xdr:cNvPr id="5" name="Forme libre 4"/>
        <xdr:cNvSpPr/>
      </xdr:nvSpPr>
      <xdr:spPr>
        <a:xfrm>
          <a:off x="4556760" y="5052060"/>
          <a:ext cx="2225040" cy="388620"/>
        </a:xfrm>
        <a:custGeom>
          <a:avLst/>
          <a:gdLst>
            <a:gd name="connsiteX0" fmla="*/ 0 w 807720"/>
            <a:gd name="connsiteY0" fmla="*/ 0 h 167640"/>
            <a:gd name="connsiteX1" fmla="*/ 807720 w 807720"/>
            <a:gd name="connsiteY1" fmla="*/ 0 h 167640"/>
            <a:gd name="connsiteX2" fmla="*/ 807720 w 807720"/>
            <a:gd name="connsiteY2" fmla="*/ 167640 h 16764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807720" h="167640">
              <a:moveTo>
                <a:pt x="0" y="0"/>
              </a:moveTo>
              <a:lnTo>
                <a:pt x="807720" y="0"/>
              </a:lnTo>
              <a:lnTo>
                <a:pt x="807720" y="167640"/>
              </a:lnTo>
            </a:path>
          </a:pathLst>
        </a:custGeom>
        <a:noFill/>
        <a:ln w="9525">
          <a:solidFill>
            <a:schemeClr val="tx1">
              <a:lumMod val="50000"/>
              <a:lumOff val="50000"/>
            </a:schemeClr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76200</xdr:colOff>
      <xdr:row>34</xdr:row>
      <xdr:rowOff>15240</xdr:rowOff>
    </xdr:from>
    <xdr:to>
      <xdr:col>6</xdr:col>
      <xdr:colOff>723900</xdr:colOff>
      <xdr:row>36</xdr:row>
      <xdr:rowOff>106680</xdr:rowOff>
    </xdr:to>
    <xdr:sp macro="" textlink="">
      <xdr:nvSpPr>
        <xdr:cNvPr id="6" name="Forme libre 5"/>
        <xdr:cNvSpPr/>
      </xdr:nvSpPr>
      <xdr:spPr>
        <a:xfrm flipV="1">
          <a:off x="4556760" y="5821680"/>
          <a:ext cx="2225040" cy="426720"/>
        </a:xfrm>
        <a:custGeom>
          <a:avLst/>
          <a:gdLst>
            <a:gd name="connsiteX0" fmla="*/ 0 w 807720"/>
            <a:gd name="connsiteY0" fmla="*/ 0 h 167640"/>
            <a:gd name="connsiteX1" fmla="*/ 807720 w 807720"/>
            <a:gd name="connsiteY1" fmla="*/ 0 h 167640"/>
            <a:gd name="connsiteX2" fmla="*/ 807720 w 807720"/>
            <a:gd name="connsiteY2" fmla="*/ 167640 h 16764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807720" h="167640">
              <a:moveTo>
                <a:pt x="0" y="0"/>
              </a:moveTo>
              <a:lnTo>
                <a:pt x="807720" y="0"/>
              </a:lnTo>
              <a:lnTo>
                <a:pt x="807720" y="167640"/>
              </a:lnTo>
            </a:path>
          </a:pathLst>
        </a:custGeom>
        <a:noFill/>
        <a:ln w="9525">
          <a:solidFill>
            <a:schemeClr val="tx1">
              <a:lumMod val="50000"/>
              <a:lumOff val="50000"/>
            </a:schemeClr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144780</xdr:colOff>
      <xdr:row>33</xdr:row>
      <xdr:rowOff>0</xdr:rowOff>
    </xdr:from>
    <xdr:to>
      <xdr:col>5</xdr:col>
      <xdr:colOff>60960</xdr:colOff>
      <xdr:row>35</xdr:row>
      <xdr:rowOff>0</xdr:rowOff>
    </xdr:to>
    <xdr:sp macro="" textlink="">
      <xdr:nvSpPr>
        <xdr:cNvPr id="7" name="AutoShape 1"/>
        <xdr:cNvSpPr>
          <a:spLocks/>
        </xdr:cNvSpPr>
      </xdr:nvSpPr>
      <xdr:spPr bwMode="auto">
        <a:xfrm>
          <a:off x="4625340" y="5638800"/>
          <a:ext cx="99060" cy="335280"/>
        </a:xfrm>
        <a:prstGeom prst="rightBrace">
          <a:avLst>
            <a:gd name="adj1" fmla="val 2948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5</xdr:col>
      <xdr:colOff>312420</xdr:colOff>
      <xdr:row>25</xdr:row>
      <xdr:rowOff>137160</xdr:rowOff>
    </xdr:from>
    <xdr:to>
      <xdr:col>5</xdr:col>
      <xdr:colOff>1112520</xdr:colOff>
      <xdr:row>33</xdr:row>
      <xdr:rowOff>152400</xdr:rowOff>
    </xdr:to>
    <xdr:sp macro="" textlink="">
      <xdr:nvSpPr>
        <xdr:cNvPr id="8" name="Forme libre 7"/>
        <xdr:cNvSpPr/>
      </xdr:nvSpPr>
      <xdr:spPr>
        <a:xfrm>
          <a:off x="4975860" y="4411980"/>
          <a:ext cx="800100" cy="1379220"/>
        </a:xfrm>
        <a:custGeom>
          <a:avLst/>
          <a:gdLst>
            <a:gd name="connsiteX0" fmla="*/ 0 w 769620"/>
            <a:gd name="connsiteY0" fmla="*/ 1379220 h 1379220"/>
            <a:gd name="connsiteX1" fmla="*/ 403860 w 769620"/>
            <a:gd name="connsiteY1" fmla="*/ 1379220 h 1379220"/>
            <a:gd name="connsiteX2" fmla="*/ 403860 w 769620"/>
            <a:gd name="connsiteY2" fmla="*/ 0 h 1379220"/>
            <a:gd name="connsiteX3" fmla="*/ 769620 w 769620"/>
            <a:gd name="connsiteY3" fmla="*/ 0 h 137922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769620" h="1379220">
              <a:moveTo>
                <a:pt x="0" y="1379220"/>
              </a:moveTo>
              <a:lnTo>
                <a:pt x="403860" y="1379220"/>
              </a:lnTo>
              <a:lnTo>
                <a:pt x="403860" y="0"/>
              </a:lnTo>
              <a:lnTo>
                <a:pt x="769620" y="0"/>
              </a:lnTo>
            </a:path>
          </a:pathLst>
        </a:custGeom>
        <a:noFill/>
        <a:ln w="6350">
          <a:solidFill>
            <a:sysClr val="windowText" lastClr="000000"/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342900</xdr:colOff>
      <xdr:row>25</xdr:row>
      <xdr:rowOff>0</xdr:rowOff>
    </xdr:from>
    <xdr:to>
      <xdr:col>5</xdr:col>
      <xdr:colOff>1104900</xdr:colOff>
      <xdr:row>25</xdr:row>
      <xdr:rowOff>0</xdr:rowOff>
    </xdr:to>
    <xdr:cxnSp macro="">
      <xdr:nvCxnSpPr>
        <xdr:cNvPr id="10" name="Connecteur droit avec flèche 9"/>
        <xdr:cNvCxnSpPr/>
      </xdr:nvCxnSpPr>
      <xdr:spPr>
        <a:xfrm>
          <a:off x="5006340" y="4274820"/>
          <a:ext cx="762000" cy="0"/>
        </a:xfrm>
        <a:prstGeom prst="straightConnector1">
          <a:avLst/>
        </a:prstGeom>
        <a:ln>
          <a:solidFill>
            <a:sysClr val="windowText" lastClr="00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2:U57"/>
  <sheetViews>
    <sheetView showGridLines="0" tabSelected="1" workbookViewId="0">
      <selection activeCell="C8" sqref="C8"/>
    </sheetView>
  </sheetViews>
  <sheetFormatPr baseColWidth="10" defaultRowHeight="14.4" x14ac:dyDescent="0.3"/>
  <sheetData>
    <row r="2" spans="1:21" x14ac:dyDescent="0.3">
      <c r="A2" s="1"/>
      <c r="B2" s="12" t="s">
        <v>136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21" x14ac:dyDescent="0.3">
      <c r="A4" s="1"/>
      <c r="B4" s="79" t="s">
        <v>135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1" x14ac:dyDescent="0.3">
      <c r="A5" s="1"/>
      <c r="B5" s="6" t="s">
        <v>134</v>
      </c>
      <c r="C5" s="6" t="s">
        <v>4</v>
      </c>
      <c r="D5" s="1"/>
      <c r="E5" s="1"/>
      <c r="F5" s="1" t="s">
        <v>1</v>
      </c>
      <c r="G5" s="1" t="s">
        <v>2</v>
      </c>
      <c r="H5" s="1" t="s">
        <v>6</v>
      </c>
      <c r="I5" s="1"/>
      <c r="J5" s="1"/>
      <c r="K5" s="80" t="s">
        <v>3</v>
      </c>
      <c r="L5" s="80"/>
      <c r="M5" s="1"/>
      <c r="N5" s="1"/>
      <c r="O5" s="1"/>
      <c r="P5" s="1"/>
      <c r="Q5" s="1"/>
      <c r="R5" s="1"/>
      <c r="S5" s="1"/>
      <c r="T5" s="1"/>
      <c r="U5" s="1"/>
    </row>
    <row r="6" spans="1:21" x14ac:dyDescent="0.3">
      <c r="A6" s="1"/>
      <c r="B6" s="7" t="s">
        <v>0</v>
      </c>
      <c r="C6" s="7" t="s">
        <v>5</v>
      </c>
      <c r="D6" s="1"/>
      <c r="E6" s="1"/>
      <c r="F6" s="5" t="s">
        <v>0</v>
      </c>
      <c r="G6" s="5" t="s">
        <v>0</v>
      </c>
      <c r="H6" s="5" t="s">
        <v>5</v>
      </c>
      <c r="I6" s="1"/>
      <c r="J6" s="1"/>
      <c r="K6" s="7" t="s">
        <v>0</v>
      </c>
      <c r="L6" s="7" t="s">
        <v>0</v>
      </c>
      <c r="M6" s="1"/>
      <c r="N6" s="1"/>
      <c r="O6" s="1"/>
      <c r="P6" s="1"/>
      <c r="Q6" s="1"/>
      <c r="R6" s="1"/>
      <c r="S6" s="1"/>
      <c r="T6" s="1"/>
      <c r="U6" s="1"/>
    </row>
    <row r="7" spans="1:21" x14ac:dyDescent="0.3">
      <c r="A7" s="1"/>
      <c r="B7" s="8">
        <v>200</v>
      </c>
      <c r="C7" s="8">
        <v>3000</v>
      </c>
      <c r="D7" s="1"/>
      <c r="E7" s="1"/>
      <c r="F7" s="1">
        <f>$K$7</f>
        <v>50</v>
      </c>
      <c r="G7" s="2">
        <f t="shared" ref="G7:G38" si="0">2*SQRT(L_^2-Xa_^2)</f>
        <v>387.29833462074168</v>
      </c>
      <c r="H7" s="3"/>
      <c r="I7" s="1"/>
      <c r="J7" s="1"/>
      <c r="K7" s="9">
        <f>L_/4</f>
        <v>50</v>
      </c>
      <c r="L7" s="10">
        <f>ROUND(SQRT(L_^2-(L_/4)^2),0)</f>
        <v>194</v>
      </c>
      <c r="M7" s="1"/>
      <c r="N7" s="1"/>
      <c r="O7" s="1"/>
      <c r="P7" s="1"/>
      <c r="Q7" s="1"/>
      <c r="R7" s="1"/>
      <c r="S7" s="1"/>
      <c r="T7" s="1"/>
      <c r="U7" s="1"/>
    </row>
    <row r="8" spans="1:21" x14ac:dyDescent="0.3">
      <c r="A8" s="1"/>
      <c r="B8" s="1"/>
      <c r="C8" s="1"/>
      <c r="D8" s="1"/>
      <c r="E8" s="1"/>
      <c r="F8" s="2">
        <f>F7+($F$57-$F$7)/50</f>
        <v>52.88</v>
      </c>
      <c r="G8" s="2">
        <f t="shared" si="0"/>
        <v>385.76524260228524</v>
      </c>
      <c r="H8" s="11">
        <f t="shared" ref="H8:H39" si="1">-Fch*(G9-G7)/(2*(F9-F7))</f>
        <v>822.56771434288044</v>
      </c>
      <c r="I8" s="1"/>
      <c r="J8" s="1"/>
      <c r="K8" s="1"/>
      <c r="L8" s="1"/>
      <c r="M8" s="1"/>
      <c r="N8" s="1"/>
      <c r="O8" s="1"/>
      <c r="P8" s="1"/>
    </row>
    <row r="9" spans="1:21" x14ac:dyDescent="0.3">
      <c r="A9" s="1"/>
      <c r="B9" s="1"/>
      <c r="C9" s="1"/>
      <c r="D9" s="1"/>
      <c r="E9" s="1"/>
      <c r="F9" s="2">
        <f t="shared" ref="F9:F56" si="2">F8+($F$57-$F$7)/50</f>
        <v>55.760000000000005</v>
      </c>
      <c r="G9" s="2">
        <f t="shared" si="0"/>
        <v>384.13967459766502</v>
      </c>
      <c r="H9" s="11">
        <f t="shared" si="1"/>
        <v>871.03939227198396</v>
      </c>
      <c r="I9" s="1"/>
      <c r="J9" s="1"/>
      <c r="K9" s="1"/>
      <c r="L9" s="1"/>
      <c r="M9" s="1"/>
      <c r="N9" s="1"/>
      <c r="O9" s="1"/>
      <c r="P9" s="1"/>
    </row>
    <row r="10" spans="1:21" x14ac:dyDescent="0.3">
      <c r="A10" s="1"/>
      <c r="B10" s="1"/>
      <c r="C10" s="1"/>
      <c r="D10" s="1"/>
      <c r="E10" s="1"/>
      <c r="F10" s="2">
        <f t="shared" si="2"/>
        <v>58.640000000000008</v>
      </c>
      <c r="G10" s="2">
        <f t="shared" si="0"/>
        <v>382.42045133596082</v>
      </c>
      <c r="H10" s="11">
        <f t="shared" si="1"/>
        <v>920.14867680109421</v>
      </c>
      <c r="I10" s="1"/>
      <c r="J10" s="1"/>
      <c r="K10" s="1"/>
      <c r="L10" s="1"/>
      <c r="M10" s="1"/>
      <c r="N10" s="1"/>
      <c r="O10" s="1"/>
      <c r="P10" s="1"/>
    </row>
    <row r="11" spans="1:21" x14ac:dyDescent="0.3">
      <c r="A11" s="1"/>
      <c r="B11" s="1"/>
      <c r="C11" s="1"/>
      <c r="D11" s="1"/>
      <c r="E11" s="1"/>
      <c r="F11" s="2">
        <f t="shared" si="2"/>
        <v>61.52000000000001</v>
      </c>
      <c r="G11" s="2">
        <f t="shared" si="0"/>
        <v>380.60630367874882</v>
      </c>
      <c r="H11" s="11">
        <f t="shared" si="1"/>
        <v>969.94372845388557</v>
      </c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21" x14ac:dyDescent="0.3">
      <c r="A12" s="1"/>
      <c r="B12" s="1"/>
      <c r="C12" s="1"/>
      <c r="D12" s="1"/>
      <c r="E12" s="1"/>
      <c r="F12" s="2">
        <f t="shared" si="2"/>
        <v>64.400000000000006</v>
      </c>
      <c r="G12" s="2">
        <f t="shared" si="0"/>
        <v>378.6958674186979</v>
      </c>
      <c r="H12" s="11">
        <f t="shared" si="1"/>
        <v>1020.4755605880871</v>
      </c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21" x14ac:dyDescent="0.3">
      <c r="A13" s="1"/>
      <c r="B13" s="1"/>
      <c r="C13" s="1"/>
      <c r="D13" s="1"/>
      <c r="E13" s="1"/>
      <c r="F13" s="2">
        <f t="shared" si="2"/>
        <v>67.28</v>
      </c>
      <c r="G13" s="2">
        <f t="shared" si="0"/>
        <v>376.68767752609057</v>
      </c>
      <c r="H13" s="11">
        <f t="shared" si="1"/>
        <v>1071.7983431088371</v>
      </c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21" x14ac:dyDescent="0.3">
      <c r="A14" s="1"/>
      <c r="B14" s="1"/>
      <c r="C14" s="1"/>
      <c r="D14" s="1"/>
      <c r="E14" s="1"/>
      <c r="F14" s="2">
        <f t="shared" si="2"/>
        <v>70.16</v>
      </c>
      <c r="G14" s="2">
        <f t="shared" si="0"/>
        <v>374.58016178115997</v>
      </c>
      <c r="H14" s="11">
        <f t="shared" si="1"/>
        <v>1123.9697409252956</v>
      </c>
      <c r="I14" s="1"/>
      <c r="J14" s="78" t="s">
        <v>133</v>
      </c>
      <c r="K14" s="1"/>
      <c r="L14" s="1"/>
      <c r="M14" s="1"/>
      <c r="N14" s="1"/>
      <c r="O14" s="1"/>
      <c r="P14" s="1"/>
      <c r="Q14" s="1"/>
      <c r="R14" s="1"/>
    </row>
    <row r="15" spans="1:21" x14ac:dyDescent="0.3">
      <c r="A15" s="1"/>
      <c r="B15" s="1"/>
      <c r="C15" s="1"/>
      <c r="D15" s="1"/>
      <c r="E15" s="1"/>
      <c r="F15" s="2">
        <f t="shared" si="2"/>
        <v>73.039999999999992</v>
      </c>
      <c r="G15" s="2">
        <f t="shared" si="0"/>
        <v>372.37163372093744</v>
      </c>
      <c r="H15" s="11">
        <f t="shared" si="1"/>
        <v>1177.0512923415447</v>
      </c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21" x14ac:dyDescent="0.3">
      <c r="A16" s="1"/>
      <c r="B16" s="1"/>
      <c r="C16" s="1"/>
      <c r="D16" s="1"/>
      <c r="E16" s="1"/>
      <c r="F16" s="2">
        <f t="shared" si="2"/>
        <v>75.919999999999987</v>
      </c>
      <c r="G16" s="2">
        <f t="shared" si="0"/>
        <v>370.06028481856845</v>
      </c>
      <c r="H16" s="11">
        <f t="shared" si="1"/>
        <v>1231.1088334575043</v>
      </c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3">
      <c r="A17" s="1"/>
      <c r="B17" s="1"/>
      <c r="C17" s="1"/>
      <c r="D17" s="1"/>
      <c r="E17" s="1"/>
      <c r="F17" s="2">
        <f t="shared" si="2"/>
        <v>78.799999999999983</v>
      </c>
      <c r="G17" s="2">
        <f t="shared" si="0"/>
        <v>367.64417580046063</v>
      </c>
      <c r="H17" s="11">
        <f t="shared" si="1"/>
        <v>1286.2129757200712</v>
      </c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x14ac:dyDescent="0.3">
      <c r="A18" s="1"/>
      <c r="B18" s="1"/>
      <c r="C18" s="1"/>
      <c r="D18" s="1"/>
      <c r="E18" s="1"/>
      <c r="F18" s="2">
        <f t="shared" si="2"/>
        <v>81.679999999999978</v>
      </c>
      <c r="G18" s="2">
        <f t="shared" si="0"/>
        <v>365.12122699180338</v>
      </c>
      <c r="H18" s="11">
        <f t="shared" si="1"/>
        <v>1342.4396450469171</v>
      </c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3">
      <c r="A19" s="1"/>
      <c r="B19" s="1"/>
      <c r="C19" s="1"/>
      <c r="D19" s="1"/>
      <c r="E19" s="1"/>
      <c r="F19" s="2">
        <f t="shared" si="2"/>
        <v>84.559999999999974</v>
      </c>
      <c r="G19" s="2">
        <f t="shared" si="0"/>
        <v>362.48920756348048</v>
      </c>
      <c r="H19" s="11">
        <f t="shared" si="1"/>
        <v>1399.8706924986673</v>
      </c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3">
      <c r="A20" s="1"/>
      <c r="B20" s="1"/>
      <c r="C20" s="1"/>
      <c r="D20" s="1"/>
      <c r="E20" s="1"/>
      <c r="F20" s="2">
        <f t="shared" si="2"/>
        <v>87.439999999999969</v>
      </c>
      <c r="G20" s="2">
        <f t="shared" si="0"/>
        <v>359.74572353260851</v>
      </c>
      <c r="H20" s="11">
        <f t="shared" si="1"/>
        <v>1458.5945883642985</v>
      </c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3">
      <c r="A21" s="1"/>
      <c r="B21" s="1"/>
      <c r="C21" s="1"/>
      <c r="D21" s="1"/>
      <c r="E21" s="1"/>
      <c r="F21" s="2">
        <f t="shared" si="2"/>
        <v>90.319999999999965</v>
      </c>
      <c r="G21" s="2">
        <f t="shared" si="0"/>
        <v>356.88820434416158</v>
      </c>
      <c r="H21" s="11">
        <f t="shared" si="1"/>
        <v>1518.70721383311</v>
      </c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3">
      <c r="A22" s="1"/>
      <c r="B22" s="1"/>
      <c r="C22" s="1"/>
      <c r="D22" s="1"/>
      <c r="E22" s="1"/>
      <c r="F22" s="2">
        <f t="shared" si="2"/>
        <v>93.19999999999996</v>
      </c>
      <c r="G22" s="2">
        <f t="shared" si="0"/>
        <v>353.91388783148938</v>
      </c>
      <c r="H22" s="11">
        <f t="shared" si="1"/>
        <v>1580.3127672593423</v>
      </c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3">
      <c r="A23" s="1"/>
      <c r="B23" s="1"/>
      <c r="C23" s="1"/>
      <c r="D23" s="1"/>
      <c r="E23" s="1"/>
      <c r="F23" s="2">
        <f t="shared" si="2"/>
        <v>96.079999999999956</v>
      </c>
      <c r="G23" s="2">
        <f t="shared" si="0"/>
        <v>350.81980331788571</v>
      </c>
      <c r="H23" s="11">
        <f t="shared" si="1"/>
        <v>1643.5248055221107</v>
      </c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3">
      <c r="A24" s="1"/>
      <c r="B24" s="1"/>
      <c r="C24" s="1"/>
      <c r="D24" s="1"/>
      <c r="E24" s="1"/>
      <c r="F24" s="2">
        <f t="shared" si="2"/>
        <v>98.959999999999951</v>
      </c>
      <c r="G24" s="2">
        <f t="shared" si="0"/>
        <v>347.60275257828448</v>
      </c>
      <c r="H24" s="11">
        <f t="shared" si="1"/>
        <v>1708.4674453209407</v>
      </c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x14ac:dyDescent="0.3">
      <c r="A25" s="1"/>
      <c r="B25" s="1"/>
      <c r="C25" s="1"/>
      <c r="D25" s="1"/>
      <c r="E25" s="1"/>
      <c r="F25" s="2">
        <f t="shared" si="2"/>
        <v>101.83999999999995</v>
      </c>
      <c r="G25" s="2">
        <f t="shared" si="0"/>
        <v>344.25928832785331</v>
      </c>
      <c r="H25" s="11">
        <f t="shared" si="1"/>
        <v>1775.2767546563732</v>
      </c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3">
      <c r="B26" s="82" t="s">
        <v>8</v>
      </c>
      <c r="C26" s="82"/>
      <c r="D26" s="82"/>
      <c r="E26" s="12"/>
      <c r="F26" s="2">
        <f t="shared" si="2"/>
        <v>104.71999999999994</v>
      </c>
      <c r="G26" s="2">
        <f t="shared" si="0"/>
        <v>340.78568984040402</v>
      </c>
      <c r="H26" s="11">
        <f t="shared" si="1"/>
        <v>1844.1023715365409</v>
      </c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3">
      <c r="A27" s="1"/>
      <c r="B27" s="81" t="s">
        <v>7</v>
      </c>
      <c r="C27" s="81"/>
      <c r="D27" s="81"/>
      <c r="E27" s="1"/>
      <c r="F27" s="2">
        <f t="shared" si="2"/>
        <v>107.59999999999994</v>
      </c>
      <c r="G27" s="2">
        <f t="shared" si="0"/>
        <v>337.17793522115301</v>
      </c>
      <c r="H27" s="11">
        <f t="shared" si="1"/>
        <v>1915.1093955252416</v>
      </c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x14ac:dyDescent="0.3">
      <c r="A28" s="1"/>
      <c r="B28" s="81"/>
      <c r="C28" s="81"/>
      <c r="D28" s="81"/>
      <c r="E28" s="1"/>
      <c r="F28" s="2">
        <f t="shared" si="2"/>
        <v>110.47999999999993</v>
      </c>
      <c r="G28" s="2">
        <f t="shared" si="0"/>
        <v>333.4316697615871</v>
      </c>
      <c r="H28" s="11">
        <f t="shared" si="1"/>
        <v>1988.4806086486865</v>
      </c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3">
      <c r="A29" s="1"/>
      <c r="B29" s="1"/>
      <c r="C29" s="1"/>
      <c r="D29" s="1"/>
      <c r="E29" s="1"/>
      <c r="F29" s="2">
        <f t="shared" si="2"/>
        <v>113.35999999999993</v>
      </c>
      <c r="G29" s="2">
        <f t="shared" si="0"/>
        <v>329.54216968394206</v>
      </c>
      <c r="H29" s="11">
        <f t="shared" si="1"/>
        <v>2064.4190961369004</v>
      </c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3">
      <c r="A30" s="1"/>
      <c r="B30" s="1"/>
      <c r="C30" s="1"/>
      <c r="D30" s="1"/>
      <c r="E30" s="1"/>
      <c r="F30" s="2">
        <f t="shared" si="2"/>
        <v>116.23999999999992</v>
      </c>
      <c r="G30" s="2">
        <f t="shared" si="0"/>
        <v>325.50430043242142</v>
      </c>
      <c r="H30" s="11">
        <f t="shared" si="1"/>
        <v>2143.1513554813428</v>
      </c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3">
      <c r="A31" s="1"/>
      <c r="B31" s="1"/>
      <c r="C31" s="1"/>
      <c r="D31" s="1"/>
      <c r="E31" s="1"/>
      <c r="F31" s="2">
        <f t="shared" si="2"/>
        <v>119.11999999999992</v>
      </c>
      <c r="G31" s="2">
        <f t="shared" si="0"/>
        <v>321.31246847889372</v>
      </c>
      <c r="H31" s="11">
        <f t="shared" si="1"/>
        <v>2224.9310057033381</v>
      </c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x14ac:dyDescent="0.3">
      <c r="F32" s="2">
        <f t="shared" si="2"/>
        <v>121.99999999999991</v>
      </c>
      <c r="G32" s="2">
        <f t="shared" si="0"/>
        <v>316.96056537052061</v>
      </c>
      <c r="H32" s="11">
        <f t="shared" si="1"/>
        <v>2310.0432394312584</v>
      </c>
    </row>
    <row r="33" spans="6:8" x14ac:dyDescent="0.3">
      <c r="F33" s="2">
        <f t="shared" si="2"/>
        <v>124.87999999999991</v>
      </c>
      <c r="G33" s="2">
        <f t="shared" si="0"/>
        <v>312.4419024394777</v>
      </c>
      <c r="H33" s="11">
        <f t="shared" si="1"/>
        <v>2398.8102010158404</v>
      </c>
    </row>
    <row r="34" spans="6:8" x14ac:dyDescent="0.3">
      <c r="F34" s="2">
        <f t="shared" si="2"/>
        <v>127.75999999999991</v>
      </c>
      <c r="G34" s="2">
        <f t="shared" si="0"/>
        <v>307.7491341986198</v>
      </c>
      <c r="H34" s="11">
        <f t="shared" si="1"/>
        <v>2491.5975282044815</v>
      </c>
    </row>
    <row r="35" spans="6:8" x14ac:dyDescent="0.3">
      <c r="F35" s="2">
        <f t="shared" si="2"/>
        <v>130.6399999999999</v>
      </c>
      <c r="G35" s="2">
        <f t="shared" si="0"/>
        <v>302.87416793117251</v>
      </c>
      <c r="H35" s="11">
        <f t="shared" si="1"/>
        <v>2588.822368200968</v>
      </c>
    </row>
    <row r="36" spans="6:8" x14ac:dyDescent="0.3">
      <c r="F36" s="2">
        <f t="shared" si="2"/>
        <v>133.5199999999999</v>
      </c>
      <c r="G36" s="2">
        <f t="shared" si="0"/>
        <v>297.8080563047281</v>
      </c>
      <c r="H36" s="11">
        <f t="shared" si="1"/>
        <v>2690.9632790269111</v>
      </c>
    </row>
    <row r="37" spans="6:8" x14ac:dyDescent="0.3">
      <c r="F37" s="2">
        <f t="shared" si="2"/>
        <v>136.39999999999989</v>
      </c>
      <c r="G37" s="2">
        <f t="shared" si="0"/>
        <v>292.54086893970918</v>
      </c>
      <c r="H37" s="11">
        <f t="shared" si="1"/>
        <v>2798.5725654202106</v>
      </c>
    </row>
    <row r="38" spans="6:8" x14ac:dyDescent="0.3">
      <c r="F38" s="2">
        <f t="shared" si="2"/>
        <v>139.27999999999989</v>
      </c>
      <c r="G38" s="2">
        <f t="shared" si="0"/>
        <v>287.06153765351451</v>
      </c>
      <c r="H38" s="11">
        <f t="shared" si="1"/>
        <v>2912.2917921681028</v>
      </c>
    </row>
    <row r="39" spans="6:8" x14ac:dyDescent="0.3">
      <c r="F39" s="2">
        <f t="shared" si="2"/>
        <v>142.15999999999988</v>
      </c>
      <c r="G39" s="2">
        <f t="shared" ref="G39:G57" si="3">2*SQRT(L_^2-Xa_^2)</f>
        <v>281.35766845778369</v>
      </c>
      <c r="H39" s="11">
        <f t="shared" si="1"/>
        <v>3032.8714927842216</v>
      </c>
    </row>
    <row r="40" spans="6:8" x14ac:dyDescent="0.3">
      <c r="F40" s="2">
        <f t="shared" si="2"/>
        <v>145.03999999999988</v>
      </c>
      <c r="G40" s="2">
        <f t="shared" si="3"/>
        <v>275.41531112122311</v>
      </c>
      <c r="H40" s="11">
        <f t="shared" ref="H40:H56" si="4">-Fch*(G41-G39)/(2*(F41-F39))</f>
        <v>3161.1964880446089</v>
      </c>
    </row>
    <row r="41" spans="6:8" x14ac:dyDescent="0.3">
      <c r="F41" s="2">
        <f t="shared" si="2"/>
        <v>147.91999999999987</v>
      </c>
      <c r="G41" s="2">
        <f t="shared" si="3"/>
        <v>269.21867394369241</v>
      </c>
      <c r="H41" s="11">
        <f t="shared" si="4"/>
        <v>3298.3188105856188</v>
      </c>
    </row>
    <row r="42" spans="6:8" x14ac:dyDescent="0.3">
      <c r="F42" s="2">
        <f t="shared" si="2"/>
        <v>150.79999999999987</v>
      </c>
      <c r="G42" s="2">
        <f t="shared" si="3"/>
        <v>262.74976688857436</v>
      </c>
      <c r="H42" s="11">
        <f t="shared" si="4"/>
        <v>3445.5011008604429</v>
      </c>
    </row>
    <row r="43" spans="6:8" x14ac:dyDescent="0.3">
      <c r="F43" s="2">
        <f t="shared" si="2"/>
        <v>153.67999999999986</v>
      </c>
      <c r="G43" s="2">
        <f t="shared" si="3"/>
        <v>255.98794971638833</v>
      </c>
      <c r="H43" s="11">
        <f t="shared" si="4"/>
        <v>3604.2746650864433</v>
      </c>
    </row>
    <row r="44" spans="6:8" x14ac:dyDescent="0.3">
      <c r="F44" s="2">
        <f t="shared" si="2"/>
        <v>156.55999999999986</v>
      </c>
      <c r="G44" s="2">
        <f t="shared" si="3"/>
        <v>248.90935217464244</v>
      </c>
      <c r="H44" s="11">
        <f t="shared" si="4"/>
        <v>3776.5184532983667</v>
      </c>
    </row>
    <row r="45" spans="6:8" x14ac:dyDescent="0.3">
      <c r="F45" s="2">
        <f t="shared" si="2"/>
        <v>159.43999999999986</v>
      </c>
      <c r="G45" s="2">
        <f t="shared" si="3"/>
        <v>241.48611885572262</v>
      </c>
      <c r="H45" s="11">
        <f t="shared" si="4"/>
        <v>3964.5685236390218</v>
      </c>
    </row>
    <row r="46" spans="6:8" x14ac:dyDescent="0.3">
      <c r="F46" s="2">
        <f t="shared" si="2"/>
        <v>162.31999999999985</v>
      </c>
      <c r="G46" s="2">
        <f t="shared" si="3"/>
        <v>233.68540904386862</v>
      </c>
      <c r="H46" s="11">
        <f t="shared" si="4"/>
        <v>4171.3730049864962</v>
      </c>
    </row>
    <row r="47" spans="6:8" x14ac:dyDescent="0.3">
      <c r="F47" s="2">
        <f t="shared" si="2"/>
        <v>165.19999999999985</v>
      </c>
      <c r="G47" s="2">
        <f t="shared" si="3"/>
        <v>225.4680465165745</v>
      </c>
      <c r="H47" s="11">
        <f t="shared" si="4"/>
        <v>4400.7168301913198</v>
      </c>
    </row>
    <row r="48" spans="6:8" x14ac:dyDescent="0.3">
      <c r="F48" s="2">
        <f t="shared" si="2"/>
        <v>168.07999999999984</v>
      </c>
      <c r="G48" s="2">
        <f t="shared" si="3"/>
        <v>216.78665641593398</v>
      </c>
      <c r="H48" s="11">
        <f t="shared" si="4"/>
        <v>4657.5568511932306</v>
      </c>
    </row>
    <row r="49" spans="6:8" x14ac:dyDescent="0.3">
      <c r="F49" s="2">
        <f t="shared" si="2"/>
        <v>170.95999999999984</v>
      </c>
      <c r="G49" s="2">
        <f t="shared" si="3"/>
        <v>207.58302820799253</v>
      </c>
      <c r="H49" s="11">
        <f t="shared" si="4"/>
        <v>4948.5380366090703</v>
      </c>
    </row>
    <row r="50" spans="6:8" x14ac:dyDescent="0.3">
      <c r="F50" s="2">
        <f t="shared" si="2"/>
        <v>173.83999999999983</v>
      </c>
      <c r="G50" s="2">
        <f t="shared" si="3"/>
        <v>197.78427035535518</v>
      </c>
      <c r="H50" s="11">
        <f t="shared" si="4"/>
        <v>5282.8197130485742</v>
      </c>
    </row>
    <row r="51" spans="6:8" x14ac:dyDescent="0.3">
      <c r="F51" s="2">
        <f t="shared" si="2"/>
        <v>176.71999999999983</v>
      </c>
      <c r="G51" s="2">
        <f t="shared" si="3"/>
        <v>187.29700050988603</v>
      </c>
      <c r="H51" s="11">
        <f t="shared" si="4"/>
        <v>5673.4605590010951</v>
      </c>
    </row>
    <row r="52" spans="6:8" x14ac:dyDescent="0.3">
      <c r="F52" s="2">
        <f t="shared" si="2"/>
        <v>179.59999999999982</v>
      </c>
      <c r="G52" s="2">
        <f t="shared" si="3"/>
        <v>175.998181808791</v>
      </c>
      <c r="H52" s="11">
        <f t="shared" si="4"/>
        <v>6139.8756952385074</v>
      </c>
    </row>
    <row r="53" spans="6:8" x14ac:dyDescent="0.3">
      <c r="F53" s="2">
        <f t="shared" si="2"/>
        <v>182.47999999999982</v>
      </c>
      <c r="G53" s="2">
        <f t="shared" si="3"/>
        <v>163.7198778401702</v>
      </c>
      <c r="H53" s="11">
        <f t="shared" si="4"/>
        <v>6712.5193354215216</v>
      </c>
    </row>
    <row r="54" spans="6:8" x14ac:dyDescent="0.3">
      <c r="F54" s="2">
        <f t="shared" si="2"/>
        <v>185.35999999999981</v>
      </c>
      <c r="G54" s="2">
        <f t="shared" si="3"/>
        <v>150.2221075607724</v>
      </c>
      <c r="H54" s="11">
        <f t="shared" si="4"/>
        <v>7442.6861559485014</v>
      </c>
    </row>
    <row r="55" spans="6:8" x14ac:dyDescent="0.3">
      <c r="F55" s="2">
        <f t="shared" si="2"/>
        <v>188.23999999999981</v>
      </c>
      <c r="G55" s="2">
        <f t="shared" si="3"/>
        <v>135.139963001328</v>
      </c>
      <c r="H55" s="11">
        <f t="shared" si="4"/>
        <v>8425.8615010844096</v>
      </c>
    </row>
    <row r="56" spans="6:8" x14ac:dyDescent="0.3">
      <c r="F56" s="2">
        <f t="shared" si="2"/>
        <v>191.11999999999981</v>
      </c>
      <c r="G56" s="2">
        <f t="shared" si="3"/>
        <v>117.86679939660831</v>
      </c>
      <c r="H56" s="11">
        <f t="shared" si="4"/>
        <v>9869.2699875471353</v>
      </c>
    </row>
    <row r="57" spans="6:8" x14ac:dyDescent="0.3">
      <c r="F57" s="2">
        <f>$L$7</f>
        <v>194</v>
      </c>
      <c r="G57" s="2">
        <f t="shared" si="3"/>
        <v>97.241966249145747</v>
      </c>
      <c r="H57" s="4"/>
    </row>
  </sheetData>
  <mergeCells count="3">
    <mergeCell ref="K5:L5"/>
    <mergeCell ref="B27:D28"/>
    <mergeCell ref="B26:D2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2:H96"/>
  <sheetViews>
    <sheetView showGridLines="0" workbookViewId="0">
      <selection activeCell="B39" sqref="B39"/>
    </sheetView>
  </sheetViews>
  <sheetFormatPr baseColWidth="10" defaultColWidth="11.44140625" defaultRowHeight="13.2" x14ac:dyDescent="0.25"/>
  <cols>
    <col min="1" max="1" width="7" style="16" customWidth="1"/>
    <col min="2" max="2" width="40.109375" style="18" customWidth="1"/>
    <col min="3" max="3" width="9.5546875" style="14" customWidth="1"/>
    <col min="4" max="4" width="8.6640625" style="15" customWidth="1"/>
    <col min="5" max="5" width="2.6640625" style="16" customWidth="1"/>
    <col min="6" max="6" width="20.33203125" style="17" customWidth="1"/>
    <col min="7" max="7" width="20.6640625" style="16" customWidth="1"/>
    <col min="8" max="8" width="19.44140625" style="16" customWidth="1"/>
    <col min="9" max="9" width="4" style="16" customWidth="1"/>
    <col min="10" max="16384" width="11.44140625" style="16"/>
  </cols>
  <sheetData>
    <row r="2" spans="2:8" ht="15.6" x14ac:dyDescent="0.3">
      <c r="B2" s="13" t="s">
        <v>9</v>
      </c>
    </row>
    <row r="3" spans="2:8" ht="15.6" x14ac:dyDescent="0.3">
      <c r="B3" s="13"/>
    </row>
    <row r="4" spans="2:8" ht="13.8" thickBot="1" x14ac:dyDescent="0.3">
      <c r="B4" s="79" t="s">
        <v>135</v>
      </c>
    </row>
    <row r="5" spans="2:8" ht="13.8" thickBot="1" x14ac:dyDescent="0.3">
      <c r="B5" s="83" t="s">
        <v>10</v>
      </c>
      <c r="C5" s="84"/>
      <c r="D5" s="85"/>
      <c r="E5" s="19"/>
      <c r="F5" s="87" t="s">
        <v>11</v>
      </c>
      <c r="G5" s="88"/>
      <c r="H5" s="88"/>
    </row>
    <row r="6" spans="2:8" x14ac:dyDescent="0.25">
      <c r="B6" s="20" t="s">
        <v>12</v>
      </c>
      <c r="C6" s="21" t="s">
        <v>13</v>
      </c>
      <c r="D6" s="22">
        <v>10000</v>
      </c>
      <c r="E6" s="23"/>
      <c r="F6" s="87"/>
      <c r="G6" s="88"/>
      <c r="H6" s="88"/>
    </row>
    <row r="7" spans="2:8" x14ac:dyDescent="0.25">
      <c r="B7" s="24" t="s">
        <v>14</v>
      </c>
      <c r="C7" s="25" t="s">
        <v>15</v>
      </c>
      <c r="D7" s="26">
        <v>0.01</v>
      </c>
      <c r="E7" s="23"/>
    </row>
    <row r="8" spans="2:8" x14ac:dyDescent="0.25">
      <c r="B8" s="24"/>
      <c r="C8" s="25"/>
      <c r="D8" s="27"/>
      <c r="E8" s="23"/>
    </row>
    <row r="9" spans="2:8" x14ac:dyDescent="0.25">
      <c r="B9" s="24" t="s">
        <v>16</v>
      </c>
      <c r="C9" s="25" t="s">
        <v>17</v>
      </c>
      <c r="D9" s="26">
        <v>20</v>
      </c>
      <c r="E9" s="23"/>
    </row>
    <row r="10" spans="2:8" x14ac:dyDescent="0.25">
      <c r="B10" s="24" t="s">
        <v>18</v>
      </c>
      <c r="C10" s="25" t="s">
        <v>19</v>
      </c>
      <c r="D10" s="26">
        <v>4</v>
      </c>
      <c r="E10" s="23"/>
      <c r="F10" s="17" t="s">
        <v>20</v>
      </c>
    </row>
    <row r="11" spans="2:8" x14ac:dyDescent="0.25">
      <c r="B11" s="24" t="s">
        <v>21</v>
      </c>
      <c r="C11" s="25" t="s">
        <v>22</v>
      </c>
      <c r="D11" s="26">
        <v>30</v>
      </c>
      <c r="E11" s="23"/>
      <c r="F11" s="17" t="s">
        <v>23</v>
      </c>
    </row>
    <row r="12" spans="2:8" x14ac:dyDescent="0.25">
      <c r="B12" s="24" t="s">
        <v>24</v>
      </c>
      <c r="C12" s="25" t="s">
        <v>25</v>
      </c>
      <c r="D12" s="26">
        <v>2</v>
      </c>
      <c r="E12" s="23"/>
    </row>
    <row r="13" spans="2:8" x14ac:dyDescent="0.25">
      <c r="B13" s="24" t="s">
        <v>26</v>
      </c>
      <c r="C13" s="25" t="s">
        <v>27</v>
      </c>
      <c r="D13" s="26">
        <v>30</v>
      </c>
      <c r="E13" s="23"/>
      <c r="F13" s="17" t="s">
        <v>28</v>
      </c>
    </row>
    <row r="14" spans="2:8" x14ac:dyDescent="0.25">
      <c r="B14" s="24"/>
      <c r="C14" s="25"/>
      <c r="D14" s="27"/>
      <c r="E14" s="23"/>
    </row>
    <row r="15" spans="2:8" ht="12.75" customHeight="1" x14ac:dyDescent="0.25">
      <c r="B15" s="28" t="s">
        <v>29</v>
      </c>
      <c r="C15" s="89" t="s">
        <v>30</v>
      </c>
      <c r="D15" s="90"/>
      <c r="E15" s="29"/>
      <c r="F15" s="30"/>
    </row>
    <row r="16" spans="2:8" x14ac:dyDescent="0.25">
      <c r="B16" s="24" t="s">
        <v>31</v>
      </c>
      <c r="C16" s="91" t="s">
        <v>32</v>
      </c>
      <c r="D16" s="92"/>
      <c r="E16" s="23"/>
      <c r="F16" s="17" t="s">
        <v>33</v>
      </c>
    </row>
    <row r="17" spans="2:8" x14ac:dyDescent="0.25">
      <c r="B17" s="24" t="s">
        <v>34</v>
      </c>
      <c r="C17" s="25" t="s">
        <v>35</v>
      </c>
      <c r="D17" s="26">
        <v>0.13</v>
      </c>
      <c r="E17" s="23"/>
    </row>
    <row r="18" spans="2:8" x14ac:dyDescent="0.25">
      <c r="B18" s="24" t="s">
        <v>36</v>
      </c>
      <c r="C18" s="25" t="s">
        <v>37</v>
      </c>
      <c r="D18" s="26">
        <v>32</v>
      </c>
      <c r="E18" s="23"/>
      <c r="F18" s="31" t="s">
        <v>38</v>
      </c>
    </row>
    <row r="19" spans="2:8" s="34" customFormat="1" ht="12.75" customHeight="1" x14ac:dyDescent="0.25">
      <c r="B19" s="24" t="s">
        <v>39</v>
      </c>
      <c r="C19" s="32" t="s">
        <v>40</v>
      </c>
      <c r="D19" s="33">
        <v>24</v>
      </c>
      <c r="E19" s="23"/>
      <c r="F19" s="17"/>
      <c r="G19" s="16"/>
      <c r="H19" s="16"/>
    </row>
    <row r="20" spans="2:8" ht="13.8" thickBot="1" x14ac:dyDescent="0.3">
      <c r="B20" s="35" t="s">
        <v>41</v>
      </c>
      <c r="C20" s="36" t="s">
        <v>42</v>
      </c>
      <c r="D20" s="37">
        <v>0.13</v>
      </c>
      <c r="E20" s="23"/>
    </row>
    <row r="21" spans="2:8" x14ac:dyDescent="0.25">
      <c r="E21" s="38"/>
      <c r="G21" s="93" t="s">
        <v>43</v>
      </c>
      <c r="H21" s="93"/>
    </row>
    <row r="22" spans="2:8" x14ac:dyDescent="0.25">
      <c r="E22" s="19"/>
      <c r="G22" s="94" t="s">
        <v>44</v>
      </c>
      <c r="H22" s="94" t="s">
        <v>45</v>
      </c>
    </row>
    <row r="23" spans="2:8" ht="13.8" thickBot="1" x14ac:dyDescent="0.3">
      <c r="G23" s="94"/>
      <c r="H23" s="94"/>
    </row>
    <row r="24" spans="2:8" ht="13.8" thickBot="1" x14ac:dyDescent="0.3">
      <c r="B24" s="83" t="s">
        <v>46</v>
      </c>
      <c r="C24" s="84"/>
      <c r="D24" s="85"/>
      <c r="E24" s="39"/>
      <c r="F24" s="40"/>
      <c r="G24" s="94"/>
      <c r="H24" s="95"/>
    </row>
    <row r="25" spans="2:8" x14ac:dyDescent="0.25">
      <c r="B25" s="42" t="s">
        <v>49</v>
      </c>
      <c r="C25" s="43" t="s">
        <v>50</v>
      </c>
      <c r="D25" s="44">
        <f>Prf</f>
        <v>11.168767936273358</v>
      </c>
      <c r="E25" s="45"/>
      <c r="F25" s="46" t="s">
        <v>51</v>
      </c>
      <c r="G25" s="41" t="s">
        <v>47</v>
      </c>
      <c r="H25" s="41" t="s">
        <v>48</v>
      </c>
    </row>
    <row r="26" spans="2:8" x14ac:dyDescent="0.25">
      <c r="B26" s="48" t="s">
        <v>54</v>
      </c>
      <c r="C26" s="49" t="s">
        <v>55</v>
      </c>
      <c r="D26" s="50">
        <f>Vmf</f>
        <v>0.14922565104551519</v>
      </c>
      <c r="E26" s="51"/>
      <c r="G26" s="41" t="s">
        <v>52</v>
      </c>
      <c r="H26" s="47" t="s">
        <v>53</v>
      </c>
    </row>
    <row r="27" spans="2:8" x14ac:dyDescent="0.25">
      <c r="B27" s="48" t="s">
        <v>58</v>
      </c>
      <c r="C27" s="49" t="s">
        <v>59</v>
      </c>
      <c r="D27" s="52">
        <f>ROUNDUP(Cm,0)</f>
        <v>20</v>
      </c>
      <c r="E27" s="53"/>
      <c r="F27" s="54"/>
      <c r="G27" s="41" t="s">
        <v>56</v>
      </c>
      <c r="H27" s="41" t="s">
        <v>57</v>
      </c>
    </row>
    <row r="28" spans="2:8" x14ac:dyDescent="0.25">
      <c r="B28" s="48" t="s">
        <v>61</v>
      </c>
      <c r="C28" s="49" t="s">
        <v>62</v>
      </c>
      <c r="D28" s="52">
        <f>ROUNDUP(Cd,0)</f>
        <v>7</v>
      </c>
      <c r="E28" s="55"/>
      <c r="G28" s="41">
        <v>0.25</v>
      </c>
      <c r="H28" s="41" t="s">
        <v>60</v>
      </c>
    </row>
    <row r="29" spans="2:8" x14ac:dyDescent="0.25">
      <c r="B29" s="48" t="s">
        <v>64</v>
      </c>
      <c r="C29" s="49" t="s">
        <v>65</v>
      </c>
      <c r="D29" s="50">
        <f>Ncis</f>
        <v>8.3681030776286889</v>
      </c>
      <c r="E29" s="55"/>
      <c r="G29" s="56" t="s">
        <v>63</v>
      </c>
      <c r="H29" s="56"/>
    </row>
    <row r="30" spans="2:8" x14ac:dyDescent="0.25">
      <c r="B30" s="48" t="s">
        <v>66</v>
      </c>
      <c r="C30" s="49" t="s">
        <v>67</v>
      </c>
      <c r="D30" s="52">
        <f>ROUNDUP(Pm,0)</f>
        <v>304</v>
      </c>
      <c r="E30" s="55"/>
    </row>
    <row r="31" spans="2:8" ht="13.8" thickBot="1" x14ac:dyDescent="0.3">
      <c r="B31" s="57" t="s">
        <v>68</v>
      </c>
      <c r="C31" s="58" t="s">
        <v>69</v>
      </c>
      <c r="D31" s="59">
        <f>ROUNDUP(Pf,0)</f>
        <v>204</v>
      </c>
      <c r="E31" s="55"/>
    </row>
    <row r="32" spans="2:8" ht="13.8" thickBot="1" x14ac:dyDescent="0.3">
      <c r="B32" s="60"/>
      <c r="C32" s="61"/>
      <c r="D32" s="62"/>
      <c r="E32" s="55"/>
    </row>
    <row r="33" spans="2:7" ht="13.8" thickBot="1" x14ac:dyDescent="0.3">
      <c r="B33" s="83" t="s">
        <v>70</v>
      </c>
      <c r="C33" s="84"/>
      <c r="D33" s="85"/>
      <c r="E33" s="55"/>
      <c r="G33" s="86" t="str">
        <f>"Ptot. : " &amp; ROUNDUP(D30+D37,0) &amp; " Watts"</f>
        <v>Ptot. : 876 Watts</v>
      </c>
    </row>
    <row r="34" spans="2:7" x14ac:dyDescent="0.25">
      <c r="B34" s="42" t="s">
        <v>71</v>
      </c>
      <c r="C34" s="43" t="s">
        <v>72</v>
      </c>
      <c r="D34" s="50">
        <f>PrApp</f>
        <v>28.420525552124168</v>
      </c>
      <c r="E34" s="55"/>
      <c r="G34" s="86"/>
    </row>
    <row r="35" spans="2:7" x14ac:dyDescent="0.25">
      <c r="B35" s="48" t="s">
        <v>54</v>
      </c>
      <c r="C35" s="49" t="s">
        <v>73</v>
      </c>
      <c r="D35" s="50">
        <f>VmApp</f>
        <v>0.4398229715025711</v>
      </c>
      <c r="E35" s="55"/>
    </row>
    <row r="36" spans="2:7" x14ac:dyDescent="0.25">
      <c r="B36" s="48" t="s">
        <v>74</v>
      </c>
      <c r="C36" s="49" t="s">
        <v>75</v>
      </c>
      <c r="D36" s="50">
        <f>ROUNDUP(Capp,0)</f>
        <v>37</v>
      </c>
      <c r="E36" s="55"/>
    </row>
    <row r="37" spans="2:7" ht="13.8" thickBot="1" x14ac:dyDescent="0.3">
      <c r="B37" s="57" t="s">
        <v>76</v>
      </c>
      <c r="C37" s="58" t="s">
        <v>77</v>
      </c>
      <c r="D37" s="63">
        <f>ROUNDUP(Papp,0)</f>
        <v>572</v>
      </c>
      <c r="E37" s="55"/>
    </row>
    <row r="38" spans="2:7" x14ac:dyDescent="0.25">
      <c r="B38" s="64"/>
      <c r="D38" s="65"/>
      <c r="E38" s="55"/>
    </row>
    <row r="39" spans="2:7" x14ac:dyDescent="0.25">
      <c r="B39" s="64"/>
      <c r="D39" s="65"/>
      <c r="E39" s="55"/>
    </row>
    <row r="40" spans="2:7" x14ac:dyDescent="0.25">
      <c r="B40" s="64"/>
      <c r="D40" s="65"/>
      <c r="E40" s="55"/>
    </row>
    <row r="41" spans="2:7" x14ac:dyDescent="0.25">
      <c r="B41" s="64"/>
      <c r="D41" s="65"/>
      <c r="E41" s="55"/>
    </row>
    <row r="42" spans="2:7" x14ac:dyDescent="0.25">
      <c r="B42" s="64"/>
      <c r="D42" s="65"/>
      <c r="E42" s="55"/>
    </row>
    <row r="43" spans="2:7" ht="13.8" thickBot="1" x14ac:dyDescent="0.3">
      <c r="B43" s="64"/>
      <c r="E43" s="55"/>
    </row>
    <row r="44" spans="2:7" ht="13.8" thickBot="1" x14ac:dyDescent="0.3">
      <c r="B44" s="83" t="s">
        <v>78</v>
      </c>
      <c r="C44" s="84"/>
      <c r="D44" s="85"/>
      <c r="E44" s="55"/>
    </row>
    <row r="45" spans="2:7" x14ac:dyDescent="0.25">
      <c r="B45" s="66" t="s">
        <v>79</v>
      </c>
      <c r="C45" s="21" t="s">
        <v>80</v>
      </c>
      <c r="D45" s="67">
        <f>α/2/360*2*PI()</f>
        <v>0.26179938779914941</v>
      </c>
      <c r="F45" s="17" t="s">
        <v>81</v>
      </c>
    </row>
    <row r="46" spans="2:7" x14ac:dyDescent="0.25">
      <c r="B46" s="68" t="s">
        <v>82</v>
      </c>
      <c r="C46" s="25" t="s">
        <v>83</v>
      </c>
      <c r="D46" s="69">
        <f>Dnom-(P/2/Nf)</f>
        <v>19</v>
      </c>
      <c r="E46" s="70"/>
      <c r="F46" s="17" t="s">
        <v>84</v>
      </c>
    </row>
    <row r="47" spans="2:7" x14ac:dyDescent="0.25">
      <c r="B47" s="68" t="s">
        <v>85</v>
      </c>
      <c r="C47" s="25" t="s">
        <v>86</v>
      </c>
      <c r="D47" s="69">
        <f>Vz*2*PI()/(P*0.001)</f>
        <v>15.707963267948967</v>
      </c>
      <c r="E47" s="14"/>
      <c r="F47" s="17" t="s">
        <v>87</v>
      </c>
    </row>
    <row r="48" spans="2:7" x14ac:dyDescent="0.25">
      <c r="B48" s="68"/>
      <c r="C48" s="71"/>
      <c r="D48" s="69"/>
      <c r="E48" s="55"/>
    </row>
    <row r="49" spans="2:6" x14ac:dyDescent="0.25">
      <c r="B49" s="68" t="s">
        <v>88</v>
      </c>
      <c r="C49" s="25" t="s">
        <v>89</v>
      </c>
      <c r="D49" s="69">
        <f>Fv*P*0.001/2/PI()</f>
        <v>6.366197723675814</v>
      </c>
      <c r="E49" s="55"/>
      <c r="F49" s="17" t="s">
        <v>90</v>
      </c>
    </row>
    <row r="50" spans="2:6" x14ac:dyDescent="0.25">
      <c r="B50" s="68" t="s">
        <v>91</v>
      </c>
      <c r="C50" s="25" t="s">
        <v>92</v>
      </c>
      <c r="D50" s="69">
        <f>-Cum</f>
        <v>-6.366197723675814</v>
      </c>
      <c r="E50" s="55"/>
      <c r="F50" s="17" t="s">
        <v>93</v>
      </c>
    </row>
    <row r="51" spans="2:6" x14ac:dyDescent="0.25">
      <c r="B51" s="68" t="s">
        <v>94</v>
      </c>
      <c r="C51" s="25" t="s">
        <v>59</v>
      </c>
      <c r="D51" s="69">
        <f>Fv*Dm/2*((P+PI()*f*Dm/COS(DemAlph))/(PI()*Dm-f*P/COS(DemAlph)))*0.001</f>
        <v>19.326160270112013</v>
      </c>
      <c r="E51" s="55"/>
      <c r="F51" s="17" t="s">
        <v>95</v>
      </c>
    </row>
    <row r="52" spans="2:6" x14ac:dyDescent="0.25">
      <c r="B52" s="68" t="s">
        <v>96</v>
      </c>
      <c r="C52" s="25" t="s">
        <v>62</v>
      </c>
      <c r="D52" s="69">
        <f>Fv*Dm/2*((PI()*f*Dm/COS(DemAlph)-P)/(PI()*Dm+f*P/COS(DemAlph)))*0.001</f>
        <v>6.3620837740539082</v>
      </c>
      <c r="E52" s="55"/>
      <c r="F52" s="17" t="s">
        <v>97</v>
      </c>
    </row>
    <row r="53" spans="2:6" x14ac:dyDescent="0.25">
      <c r="B53" s="68" t="s">
        <v>98</v>
      </c>
      <c r="C53" s="25" t="s">
        <v>99</v>
      </c>
      <c r="D53" s="69">
        <f>Cm-Cum</f>
        <v>12.959962546436198</v>
      </c>
      <c r="E53" s="55"/>
      <c r="F53" s="17" t="s">
        <v>100</v>
      </c>
    </row>
    <row r="54" spans="2:6" x14ac:dyDescent="0.25">
      <c r="B54" s="68" t="s">
        <v>101</v>
      </c>
      <c r="C54" s="25" t="s">
        <v>102</v>
      </c>
      <c r="D54" s="69">
        <f>Cd-Cud</f>
        <v>12.728281497729721</v>
      </c>
      <c r="E54" s="55"/>
      <c r="F54" s="17" t="s">
        <v>103</v>
      </c>
    </row>
    <row r="55" spans="2:6" x14ac:dyDescent="0.25">
      <c r="B55" s="68" t="s">
        <v>104</v>
      </c>
      <c r="C55" s="25" t="s">
        <v>75</v>
      </c>
      <c r="D55" s="69">
        <f>Fv *fapp* (DmaxApp+DminApp)/2*0.001</f>
        <v>36.4</v>
      </c>
      <c r="E55" s="55"/>
      <c r="F55" s="17" t="s">
        <v>105</v>
      </c>
    </row>
    <row r="56" spans="2:6" x14ac:dyDescent="0.25">
      <c r="B56" s="68" t="s">
        <v>68</v>
      </c>
      <c r="C56" s="25" t="s">
        <v>69</v>
      </c>
      <c r="D56" s="69">
        <f>Cfm*Va</f>
        <v>203.57461563341417</v>
      </c>
      <c r="E56" s="55"/>
      <c r="F56" s="17" t="s">
        <v>106</v>
      </c>
    </row>
    <row r="57" spans="2:6" x14ac:dyDescent="0.25">
      <c r="B57" s="68" t="s">
        <v>66</v>
      </c>
      <c r="C57" s="25" t="s">
        <v>67</v>
      </c>
      <c r="D57" s="69">
        <f>Cm*Va</f>
        <v>303.57461563341417</v>
      </c>
      <c r="E57" s="55"/>
      <c r="F57" s="17" t="s">
        <v>107</v>
      </c>
    </row>
    <row r="58" spans="2:6" x14ac:dyDescent="0.25">
      <c r="B58" s="68" t="s">
        <v>76</v>
      </c>
      <c r="C58" s="25" t="s">
        <v>77</v>
      </c>
      <c r="D58" s="69">
        <f>Capp*Va</f>
        <v>571.76986295334234</v>
      </c>
      <c r="E58" s="55"/>
      <c r="F58" s="17" t="s">
        <v>108</v>
      </c>
    </row>
    <row r="59" spans="2:6" x14ac:dyDescent="0.25">
      <c r="B59" s="68" t="s">
        <v>109</v>
      </c>
      <c r="C59" s="25" t="s">
        <v>110</v>
      </c>
      <c r="D59" s="69">
        <f>PI()*Dm*P/2/Nf</f>
        <v>59.690260418206066</v>
      </c>
      <c r="E59" s="55"/>
      <c r="F59" s="17" t="s">
        <v>111</v>
      </c>
    </row>
    <row r="60" spans="2:6" x14ac:dyDescent="0.25">
      <c r="B60" s="68" t="s">
        <v>112</v>
      </c>
      <c r="C60" s="25" t="s">
        <v>113</v>
      </c>
      <c r="D60" s="69">
        <f>H/P*Nf</f>
        <v>15</v>
      </c>
      <c r="E60" s="55"/>
      <c r="F60" s="17" t="s">
        <v>114</v>
      </c>
    </row>
    <row r="61" spans="2:6" x14ac:dyDescent="0.25">
      <c r="B61" s="68" t="s">
        <v>115</v>
      </c>
      <c r="C61" s="25" t="s">
        <v>116</v>
      </c>
      <c r="D61" s="69">
        <f>IF(Ntf &lt; 1.5*Dnom/P*Nf, Ntf, 1.5*Dnom/P*Nf )</f>
        <v>15</v>
      </c>
      <c r="E61" s="55"/>
      <c r="F61" s="17" t="s">
        <v>117</v>
      </c>
    </row>
    <row r="62" spans="2:6" x14ac:dyDescent="0.25">
      <c r="B62" s="68" t="s">
        <v>118</v>
      </c>
      <c r="C62" s="25" t="s">
        <v>119</v>
      </c>
      <c r="D62" s="69">
        <f>Sc*Npf</f>
        <v>895.35390627309096</v>
      </c>
      <c r="E62" s="55"/>
      <c r="F62" s="17" t="s">
        <v>120</v>
      </c>
    </row>
    <row r="63" spans="2:6" x14ac:dyDescent="0.25">
      <c r="B63" s="68" t="s">
        <v>121</v>
      </c>
      <c r="C63" s="25" t="s">
        <v>122</v>
      </c>
      <c r="D63" s="69">
        <f>PI()*Dnom*(P/2/Nf*(1+TAN(DemAlph)))</f>
        <v>79.667597361334529</v>
      </c>
      <c r="E63" s="55"/>
      <c r="F63" s="17" t="s">
        <v>123</v>
      </c>
    </row>
    <row r="64" spans="2:6" x14ac:dyDescent="0.25">
      <c r="B64" s="68" t="s">
        <v>124</v>
      </c>
      <c r="C64" s="25" t="s">
        <v>125</v>
      </c>
      <c r="D64" s="69">
        <f>S1_*Npf</f>
        <v>1195.0139604200178</v>
      </c>
      <c r="E64" s="55"/>
      <c r="F64" s="17" t="s">
        <v>126</v>
      </c>
    </row>
    <row r="65" spans="2:6" x14ac:dyDescent="0.25">
      <c r="B65" s="72"/>
      <c r="C65" s="73"/>
      <c r="D65" s="74"/>
      <c r="E65" s="55"/>
      <c r="F65" s="70"/>
    </row>
    <row r="66" spans="2:6" x14ac:dyDescent="0.25">
      <c r="B66" s="68" t="s">
        <v>49</v>
      </c>
      <c r="C66" s="25" t="s">
        <v>50</v>
      </c>
      <c r="D66" s="69">
        <f>Fv/Sct</f>
        <v>11.168767936273358</v>
      </c>
      <c r="E66" s="55"/>
      <c r="F66" s="17" t="s">
        <v>127</v>
      </c>
    </row>
    <row r="67" spans="2:6" x14ac:dyDescent="0.25">
      <c r="B67" s="68" t="s">
        <v>54</v>
      </c>
      <c r="C67" s="25" t="s">
        <v>55</v>
      </c>
      <c r="D67" s="69">
        <f>Dm/2*Va*0.001</f>
        <v>0.14922565104551519</v>
      </c>
      <c r="E67" s="55"/>
      <c r="F67" s="17" t="s">
        <v>128</v>
      </c>
    </row>
    <row r="68" spans="2:6" x14ac:dyDescent="0.25">
      <c r="B68" s="68" t="s">
        <v>71</v>
      </c>
      <c r="C68" s="25" t="s">
        <v>72</v>
      </c>
      <c r="D68" s="69">
        <f>Fv/(PI()*(DminApp^2-DmaxApp^2)/4)</f>
        <v>28.420525552124168</v>
      </c>
      <c r="E68" s="55"/>
      <c r="F68" s="17" t="s">
        <v>129</v>
      </c>
    </row>
    <row r="69" spans="2:6" x14ac:dyDescent="0.25">
      <c r="B69" s="68" t="s">
        <v>130</v>
      </c>
      <c r="C69" s="25" t="s">
        <v>73</v>
      </c>
      <c r="D69" s="69">
        <f xml:space="preserve">  (DmaxApp+DminApp)/2*Va*0.001</f>
        <v>0.4398229715025711</v>
      </c>
      <c r="E69" s="55"/>
      <c r="F69" s="17" t="s">
        <v>131</v>
      </c>
    </row>
    <row r="70" spans="2:6" ht="13.8" thickBot="1" x14ac:dyDescent="0.3">
      <c r="B70" s="75" t="s">
        <v>64</v>
      </c>
      <c r="C70" s="36" t="s">
        <v>65</v>
      </c>
      <c r="D70" s="76">
        <f>Fv/Scis</f>
        <v>8.3681030776286889</v>
      </c>
      <c r="E70" s="70"/>
      <c r="F70" s="17" t="s">
        <v>132</v>
      </c>
    </row>
    <row r="71" spans="2:6" x14ac:dyDescent="0.25">
      <c r="D71" s="77"/>
      <c r="E71" s="55"/>
    </row>
    <row r="72" spans="2:6" x14ac:dyDescent="0.25">
      <c r="E72" s="55"/>
    </row>
    <row r="73" spans="2:6" x14ac:dyDescent="0.25">
      <c r="E73" s="55"/>
    </row>
    <row r="74" spans="2:6" x14ac:dyDescent="0.25">
      <c r="E74" s="55"/>
    </row>
    <row r="88" spans="1:8" s="70" customFormat="1" x14ac:dyDescent="0.25">
      <c r="A88" s="16"/>
      <c r="B88" s="18"/>
      <c r="C88" s="14"/>
      <c r="D88" s="15"/>
      <c r="E88" s="16"/>
      <c r="F88" s="17"/>
      <c r="G88" s="16"/>
      <c r="H88" s="16"/>
    </row>
    <row r="92" spans="1:8" x14ac:dyDescent="0.25">
      <c r="A92" s="70"/>
    </row>
    <row r="95" spans="1:8" x14ac:dyDescent="0.25">
      <c r="H95" s="70"/>
    </row>
    <row r="96" spans="1:8" x14ac:dyDescent="0.25">
      <c r="G96" s="70"/>
    </row>
  </sheetData>
  <mergeCells count="11">
    <mergeCell ref="B24:D24"/>
    <mergeCell ref="B33:D33"/>
    <mergeCell ref="G33:G34"/>
    <mergeCell ref="B44:D44"/>
    <mergeCell ref="B5:D5"/>
    <mergeCell ref="F5:H6"/>
    <mergeCell ref="C15:D15"/>
    <mergeCell ref="C16:D16"/>
    <mergeCell ref="G21:H21"/>
    <mergeCell ref="G22:G24"/>
    <mergeCell ref="H22:H24"/>
  </mergeCells>
  <printOptions gridLinesSet="0"/>
  <pageMargins left="0.59055118110236227" right="0.75" top="0.78" bottom="0.71" header="0.4921259845" footer="0.4921259845"/>
  <pageSetup paperSize="9" orientation="landscape" horizontalDpi="300" verticalDpi="4294967292" r:id="rId1"/>
  <headerFooter alignWithMargins="0">
    <oddHeader>&amp;F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38</vt:i4>
      </vt:variant>
    </vt:vector>
  </HeadingPairs>
  <TitlesOfParts>
    <vt:vector size="40" baseType="lpstr">
      <vt:lpstr>Cric losange</vt:lpstr>
      <vt:lpstr>Vis-Ecrou</vt:lpstr>
      <vt:lpstr>Capp</vt:lpstr>
      <vt:lpstr>Cd</vt:lpstr>
      <vt:lpstr>Cfd</vt:lpstr>
      <vt:lpstr>Cfm</vt:lpstr>
      <vt:lpstr>Cm</vt:lpstr>
      <vt:lpstr>Cud</vt:lpstr>
      <vt:lpstr>Cum</vt:lpstr>
      <vt:lpstr>DemAlph</vt:lpstr>
      <vt:lpstr>'Vis-Ecrou'!Dm</vt:lpstr>
      <vt:lpstr>DmaxApp</vt:lpstr>
      <vt:lpstr>DminApp</vt:lpstr>
      <vt:lpstr>'Vis-Ecrou'!Dnom</vt:lpstr>
      <vt:lpstr>f</vt:lpstr>
      <vt:lpstr>fapp</vt:lpstr>
      <vt:lpstr>Fch</vt:lpstr>
      <vt:lpstr>Fv</vt:lpstr>
      <vt:lpstr>H</vt:lpstr>
      <vt:lpstr>L_</vt:lpstr>
      <vt:lpstr>Ncis</vt:lpstr>
      <vt:lpstr>Nf</vt:lpstr>
      <vt:lpstr>Npf</vt:lpstr>
      <vt:lpstr>Ntf</vt:lpstr>
      <vt:lpstr>'Vis-Ecrou'!P</vt:lpstr>
      <vt:lpstr>Papp</vt:lpstr>
      <vt:lpstr>Pf</vt:lpstr>
      <vt:lpstr>Pm</vt:lpstr>
      <vt:lpstr>PrApp</vt:lpstr>
      <vt:lpstr>Prf</vt:lpstr>
      <vt:lpstr>S1_</vt:lpstr>
      <vt:lpstr>Sc</vt:lpstr>
      <vt:lpstr>Scis</vt:lpstr>
      <vt:lpstr>Sct</vt:lpstr>
      <vt:lpstr>Va</vt:lpstr>
      <vt:lpstr>VmApp</vt:lpstr>
      <vt:lpstr>Vmf</vt:lpstr>
      <vt:lpstr>Vz</vt:lpstr>
      <vt:lpstr>Xa_</vt:lpstr>
      <vt:lpstr>α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2018-11-30T06:09:21Z</dcterms:created>
  <dcterms:modified xsi:type="dcterms:W3CDTF">2018-11-30T09:47:13Z</dcterms:modified>
</cp:coreProperties>
</file>