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quierA\Desktop\doc alex\"/>
    </mc:Choice>
  </mc:AlternateContent>
  <bookViews>
    <workbookView xWindow="0" yWindow="0" windowWidth="28800" windowHeight="12300"/>
  </bookViews>
  <sheets>
    <sheet name="méthode 1" sheetId="1" r:id="rId1"/>
    <sheet name="méthode 2" sheetId="2" r:id="rId2"/>
    <sheet name="méthode 3" sheetId="4" r:id="rId3"/>
    <sheet name="données" sheetId="3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4" l="1"/>
  <c r="K17" i="4"/>
  <c r="K18" i="4"/>
  <c r="K20" i="4"/>
  <c r="K21" i="4"/>
  <c r="K23" i="4"/>
  <c r="K24" i="4"/>
  <c r="K26" i="4"/>
  <c r="K27" i="4"/>
  <c r="K28" i="4"/>
  <c r="K14" i="4"/>
  <c r="J15" i="4"/>
  <c r="J17" i="4"/>
  <c r="J18" i="4"/>
  <c r="J20" i="4"/>
  <c r="J21" i="4"/>
  <c r="J23" i="4"/>
  <c r="J24" i="4"/>
  <c r="J26" i="4"/>
  <c r="J27" i="4"/>
  <c r="J28" i="4"/>
  <c r="J14" i="4"/>
  <c r="H20" i="4"/>
  <c r="I20" i="4" s="1"/>
  <c r="I15" i="4"/>
  <c r="I17" i="4"/>
  <c r="I18" i="4"/>
  <c r="I21" i="4"/>
  <c r="I23" i="4"/>
  <c r="I24" i="4"/>
  <c r="I26" i="4"/>
  <c r="I27" i="4"/>
  <c r="I28" i="4"/>
  <c r="I14" i="4"/>
  <c r="H15" i="4"/>
  <c r="H17" i="4"/>
  <c r="H18" i="4"/>
  <c r="H21" i="4"/>
  <c r="H23" i="4"/>
  <c r="H24" i="4"/>
  <c r="H26" i="4"/>
  <c r="H27" i="4"/>
  <c r="H28" i="4"/>
  <c r="H14" i="4"/>
  <c r="F14" i="4"/>
  <c r="F8" i="4"/>
  <c r="E15" i="4" s="1"/>
  <c r="E8" i="2"/>
  <c r="C28" i="4"/>
  <c r="F28" i="4" s="1"/>
  <c r="G28" i="4" s="1"/>
  <c r="C27" i="4"/>
  <c r="F27" i="4" s="1"/>
  <c r="C26" i="4"/>
  <c r="F26" i="4" s="1"/>
  <c r="C24" i="4"/>
  <c r="F24" i="4" s="1"/>
  <c r="C23" i="4"/>
  <c r="F23" i="4" s="1"/>
  <c r="C21" i="4"/>
  <c r="F21" i="4" s="1"/>
  <c r="C20" i="4"/>
  <c r="F20" i="4" s="1"/>
  <c r="C18" i="4"/>
  <c r="F18" i="4" s="1"/>
  <c r="C17" i="4"/>
  <c r="F17" i="4" s="1"/>
  <c r="G17" i="4" s="1"/>
  <c r="C15" i="4"/>
  <c r="F15" i="4" s="1"/>
  <c r="C14" i="4"/>
  <c r="D8" i="4"/>
  <c r="J8" i="4" s="1"/>
  <c r="B8" i="4"/>
  <c r="F14" i="1"/>
  <c r="K14" i="1" s="1"/>
  <c r="K15" i="1"/>
  <c r="J14" i="1"/>
  <c r="I14" i="1"/>
  <c r="H14" i="1"/>
  <c r="G14" i="1"/>
  <c r="M15" i="1"/>
  <c r="M17" i="1"/>
  <c r="M18" i="1"/>
  <c r="M20" i="1"/>
  <c r="M21" i="1"/>
  <c r="M23" i="1"/>
  <c r="M24" i="1"/>
  <c r="M26" i="1"/>
  <c r="M27" i="1"/>
  <c r="M28" i="1"/>
  <c r="L15" i="1"/>
  <c r="L17" i="1"/>
  <c r="L18" i="1"/>
  <c r="L20" i="1"/>
  <c r="L21" i="1"/>
  <c r="L23" i="1"/>
  <c r="L24" i="1"/>
  <c r="L26" i="1"/>
  <c r="L27" i="1"/>
  <c r="L28" i="1"/>
  <c r="L14" i="1"/>
  <c r="G8" i="1"/>
  <c r="E8" i="1"/>
  <c r="E27" i="4" l="1"/>
  <c r="E19" i="4"/>
  <c r="E17" i="4"/>
  <c r="E22" i="4"/>
  <c r="E28" i="4"/>
  <c r="E20" i="4"/>
  <c r="E26" i="4"/>
  <c r="E18" i="4"/>
  <c r="E25" i="4"/>
  <c r="E24" i="4"/>
  <c r="E16" i="4"/>
  <c r="E14" i="4"/>
  <c r="E21" i="4"/>
  <c r="E23" i="4"/>
  <c r="G18" i="4"/>
  <c r="G24" i="4"/>
  <c r="G20" i="4"/>
  <c r="G21" i="4"/>
  <c r="G23" i="4"/>
  <c r="G26" i="4"/>
  <c r="G15" i="4"/>
  <c r="G27" i="4"/>
  <c r="G14" i="4"/>
  <c r="M14" i="2" l="1"/>
  <c r="J15" i="1"/>
  <c r="J17" i="1"/>
  <c r="J18" i="1"/>
  <c r="J20" i="1"/>
  <c r="J21" i="1"/>
  <c r="J23" i="1"/>
  <c r="J24" i="1"/>
  <c r="J26" i="1"/>
  <c r="J27" i="1"/>
  <c r="J28" i="1"/>
  <c r="G8" i="2" l="1"/>
  <c r="E20" i="2"/>
  <c r="D17" i="2"/>
  <c r="E14" i="2"/>
  <c r="H28" i="2"/>
  <c r="N28" i="2" s="1"/>
  <c r="H27" i="2"/>
  <c r="M27" i="2" s="1"/>
  <c r="H26" i="2"/>
  <c r="M26" i="2" s="1"/>
  <c r="G24" i="2"/>
  <c r="I24" i="2" s="1"/>
  <c r="J24" i="2" s="1"/>
  <c r="H23" i="2"/>
  <c r="M23" i="2" s="1"/>
  <c r="H21" i="2"/>
  <c r="M21" i="2" s="1"/>
  <c r="H20" i="2"/>
  <c r="M20" i="2" s="1"/>
  <c r="G18" i="2"/>
  <c r="I18" i="2" s="1"/>
  <c r="J18" i="2" s="1"/>
  <c r="H17" i="2"/>
  <c r="N17" i="2" s="1"/>
  <c r="H15" i="2"/>
  <c r="M15" i="2" s="1"/>
  <c r="H14" i="2"/>
  <c r="H15" i="3"/>
  <c r="J15" i="3" s="1"/>
  <c r="I15" i="3"/>
  <c r="H14" i="3"/>
  <c r="J14" i="3" s="1"/>
  <c r="I14" i="3"/>
  <c r="H13" i="3"/>
  <c r="J13" i="3"/>
  <c r="I13" i="3"/>
  <c r="H12" i="3"/>
  <c r="J12" i="3" s="1"/>
  <c r="I12" i="3"/>
  <c r="H11" i="3"/>
  <c r="J11" i="3"/>
  <c r="I11" i="3"/>
  <c r="H10" i="3"/>
  <c r="J10" i="3" s="1"/>
  <c r="I10" i="3"/>
  <c r="H9" i="3"/>
  <c r="J9" i="3" s="1"/>
  <c r="I9" i="3"/>
  <c r="H8" i="3"/>
  <c r="J8" i="3" s="1"/>
  <c r="I8" i="3"/>
  <c r="H7" i="3"/>
  <c r="J7" i="3" s="1"/>
  <c r="I7" i="3"/>
  <c r="H6" i="3"/>
  <c r="J6" i="3"/>
  <c r="I6" i="3"/>
  <c r="C28" i="1"/>
  <c r="F28" i="1" s="1"/>
  <c r="C27" i="1"/>
  <c r="F27" i="1" s="1"/>
  <c r="C26" i="1"/>
  <c r="E26" i="1" s="1"/>
  <c r="G26" i="1" s="1"/>
  <c r="H26" i="1" s="1"/>
  <c r="C24" i="1"/>
  <c r="F24" i="1" s="1"/>
  <c r="C23" i="1"/>
  <c r="F23" i="1" s="1"/>
  <c r="C21" i="1"/>
  <c r="F21" i="1" s="1"/>
  <c r="C20" i="1"/>
  <c r="F20" i="1" s="1"/>
  <c r="C18" i="1"/>
  <c r="F18" i="1" s="1"/>
  <c r="C17" i="1"/>
  <c r="F17" i="1" s="1"/>
  <c r="C15" i="1"/>
  <c r="F15" i="1" s="1"/>
  <c r="C14" i="1"/>
  <c r="F26" i="1" l="1"/>
  <c r="E17" i="1"/>
  <c r="G17" i="1" s="1"/>
  <c r="H17" i="1" s="1"/>
  <c r="E28" i="1"/>
  <c r="G28" i="1" s="1"/>
  <c r="H28" i="1" s="1"/>
  <c r="E14" i="1"/>
  <c r="E18" i="1"/>
  <c r="G18" i="1" s="1"/>
  <c r="H18" i="1" s="1"/>
  <c r="E24" i="1"/>
  <c r="G24" i="1" s="1"/>
  <c r="H24" i="1" s="1"/>
  <c r="I17" i="1"/>
  <c r="K17" i="1" s="1"/>
  <c r="M17" i="2"/>
  <c r="D28" i="2"/>
  <c r="N21" i="2"/>
  <c r="N27" i="2"/>
  <c r="D14" i="2"/>
  <c r="L14" i="2" s="1"/>
  <c r="M28" i="2"/>
  <c r="N15" i="2"/>
  <c r="D21" i="2"/>
  <c r="E28" i="2"/>
  <c r="E17" i="2"/>
  <c r="N26" i="2"/>
  <c r="D23" i="2"/>
  <c r="E18" i="2"/>
  <c r="D20" i="2"/>
  <c r="L20" i="2" s="1"/>
  <c r="O20" i="2" s="1"/>
  <c r="E27" i="2"/>
  <c r="E15" i="2"/>
  <c r="N14" i="2"/>
  <c r="D18" i="2"/>
  <c r="E26" i="2"/>
  <c r="N23" i="2"/>
  <c r="P20" i="2"/>
  <c r="D27" i="2"/>
  <c r="D15" i="2"/>
  <c r="E23" i="2"/>
  <c r="N20" i="2"/>
  <c r="E24" i="2"/>
  <c r="D26" i="2"/>
  <c r="E21" i="2"/>
  <c r="D24" i="2"/>
  <c r="H18" i="2"/>
  <c r="H24" i="2"/>
  <c r="G17" i="2"/>
  <c r="I17" i="2" s="1"/>
  <c r="J17" i="2" s="1"/>
  <c r="G23" i="2"/>
  <c r="I23" i="2" s="1"/>
  <c r="J23" i="2" s="1"/>
  <c r="G28" i="2"/>
  <c r="I28" i="2" s="1"/>
  <c r="J28" i="2" s="1"/>
  <c r="G15" i="2"/>
  <c r="I15" i="2" s="1"/>
  <c r="J15" i="2" s="1"/>
  <c r="K18" i="2"/>
  <c r="G21" i="2"/>
  <c r="I21" i="2" s="1"/>
  <c r="J21" i="2" s="1"/>
  <c r="K24" i="2"/>
  <c r="G27" i="2"/>
  <c r="I27" i="2" s="1"/>
  <c r="J27" i="2" s="1"/>
  <c r="G14" i="2"/>
  <c r="I14" i="2" s="1"/>
  <c r="J14" i="2" s="1"/>
  <c r="G20" i="2"/>
  <c r="I20" i="2" s="1"/>
  <c r="J20" i="2" s="1"/>
  <c r="G26" i="2"/>
  <c r="I26" i="2" s="1"/>
  <c r="J26" i="2" s="1"/>
  <c r="K15" i="2"/>
  <c r="E23" i="1"/>
  <c r="I15" i="1"/>
  <c r="E21" i="1"/>
  <c r="G21" i="1" s="1"/>
  <c r="H21" i="1" s="1"/>
  <c r="I27" i="1"/>
  <c r="K27" i="1" s="1"/>
  <c r="E20" i="1"/>
  <c r="I26" i="1"/>
  <c r="K26" i="1" s="1"/>
  <c r="E15" i="1"/>
  <c r="G15" i="1" s="1"/>
  <c r="H15" i="1" s="1"/>
  <c r="E27" i="1"/>
  <c r="G27" i="1" s="1"/>
  <c r="H27" i="1" s="1"/>
  <c r="I28" i="1" l="1"/>
  <c r="K28" i="1" s="1"/>
  <c r="I24" i="1"/>
  <c r="K24" i="1" s="1"/>
  <c r="I18" i="1"/>
  <c r="K18" i="1" s="1"/>
  <c r="O14" i="2"/>
  <c r="P14" i="2"/>
  <c r="K17" i="2"/>
  <c r="P26" i="2"/>
  <c r="L26" i="2"/>
  <c r="O26" i="2" s="1"/>
  <c r="M24" i="2"/>
  <c r="N24" i="2"/>
  <c r="L18" i="2"/>
  <c r="P18" i="2"/>
  <c r="L21" i="2"/>
  <c r="O21" i="2" s="1"/>
  <c r="P21" i="2"/>
  <c r="M18" i="2"/>
  <c r="N18" i="2"/>
  <c r="P15" i="2"/>
  <c r="L15" i="2"/>
  <c r="O15" i="2" s="1"/>
  <c r="P27" i="2"/>
  <c r="L27" i="2"/>
  <c r="O27" i="2" s="1"/>
  <c r="P17" i="2"/>
  <c r="L17" i="2"/>
  <c r="O17" i="2" s="1"/>
  <c r="L24" i="2"/>
  <c r="O24" i="2" s="1"/>
  <c r="P24" i="2"/>
  <c r="L23" i="2"/>
  <c r="O23" i="2" s="1"/>
  <c r="P23" i="2"/>
  <c r="P28" i="2"/>
  <c r="L28" i="2"/>
  <c r="O28" i="2" s="1"/>
  <c r="K26" i="2"/>
  <c r="K28" i="2"/>
  <c r="K27" i="2"/>
  <c r="K23" i="2"/>
  <c r="K21" i="2"/>
  <c r="K20" i="2"/>
  <c r="K14" i="2"/>
  <c r="I21" i="1"/>
  <c r="K21" i="1" s="1"/>
  <c r="I20" i="1"/>
  <c r="K20" i="1" s="1"/>
  <c r="G20" i="1"/>
  <c r="H20" i="1" s="1"/>
  <c r="I23" i="1"/>
  <c r="K23" i="1" s="1"/>
  <c r="G23" i="1"/>
  <c r="H23" i="1" s="1"/>
  <c r="M14" i="1" l="1"/>
  <c r="O18" i="2"/>
</calcChain>
</file>

<file path=xl/sharedStrings.xml><?xml version="1.0" encoding="utf-8"?>
<sst xmlns="http://schemas.openxmlformats.org/spreadsheetml/2006/main" count="146" uniqueCount="85">
  <si>
    <t>PIQUIER ALEXANDRE</t>
  </si>
  <si>
    <t>coefficient de convection</t>
  </si>
  <si>
    <t>h [W/m²K]</t>
  </si>
  <si>
    <t>coefficient de conduction</t>
  </si>
  <si>
    <t>date</t>
  </si>
  <si>
    <t xml:space="preserve"> AFFAIRE N°</t>
  </si>
  <si>
    <t>FM1/2/3</t>
  </si>
  <si>
    <t>ALPUR1/2/3</t>
  </si>
  <si>
    <t xml:space="preserve">interne </t>
  </si>
  <si>
    <t>acier</t>
  </si>
  <si>
    <t>externe</t>
  </si>
  <si>
    <t>calorifuge</t>
  </si>
  <si>
    <t xml:space="preserve"> </t>
  </si>
  <si>
    <t>Vmin [m/s]</t>
  </si>
  <si>
    <t>Te [°C]</t>
  </si>
  <si>
    <t>Ta [°C]</t>
  </si>
  <si>
    <t xml:space="preserve">masse volumique air  0°C [kg/m^3] </t>
  </si>
  <si>
    <t>Cp du gap [J/Kg/K]</t>
  </si>
  <si>
    <t>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</si>
  <si>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re-b</t>
  </si>
  <si>
    <t>méthode 1 : variation de pression ΔP</t>
  </si>
  <si>
    <t>Diamètre [mm]</t>
  </si>
  <si>
    <t>Longueur droite [m]</t>
  </si>
  <si>
    <t>section [m²]</t>
  </si>
  <si>
    <t>surface d'échange</t>
  </si>
  <si>
    <t>débit min [m^3/h]</t>
  </si>
  <si>
    <t>débit [m3/s]</t>
  </si>
  <si>
    <t>Débit massique Qm [Kg/s]</t>
  </si>
  <si>
    <t>Ts [°C]</t>
  </si>
  <si>
    <t>FM1</t>
  </si>
  <si>
    <t>ALPUR 1</t>
  </si>
  <si>
    <t>FM2</t>
  </si>
  <si>
    <t>ALPUR 2</t>
  </si>
  <si>
    <t>FM3</t>
  </si>
  <si>
    <t>ALPUR 3</t>
  </si>
  <si>
    <t>FM4</t>
  </si>
  <si>
    <t>ALPUR4</t>
  </si>
  <si>
    <t>FM5</t>
  </si>
  <si>
    <t>ALPUR5/7</t>
  </si>
  <si>
    <t>FM7</t>
  </si>
  <si>
    <t>diamètre int</t>
  </si>
  <si>
    <t>température ext</t>
  </si>
  <si>
    <t>Vitesse[m/s]</t>
  </si>
  <si>
    <t>O2</t>
  </si>
  <si>
    <t>CO2</t>
  </si>
  <si>
    <t>TEMPERATURE</t>
  </si>
  <si>
    <t>Mv</t>
  </si>
  <si>
    <t>Viscosité dynamique</t>
  </si>
  <si>
    <t>T en Kelvin</t>
  </si>
  <si>
    <t>DN</t>
  </si>
  <si>
    <t>°C</t>
  </si>
  <si>
    <t>V</t>
  </si>
  <si>
    <t>%</t>
  </si>
  <si>
    <t>ρ</t>
  </si>
  <si>
    <t>μ</t>
  </si>
  <si>
    <t>K</t>
  </si>
  <si>
    <t>rayon interne r1 [m]</t>
  </si>
  <si>
    <t>rayon ext r2 [m]</t>
  </si>
  <si>
    <t>flux phi W</t>
  </si>
  <si>
    <t>λ [W/mK]</t>
  </si>
  <si>
    <t>Rtot [K/W]</t>
  </si>
  <si>
    <t>Rhi interne</t>
  </si>
  <si>
    <t>interne  hi</t>
  </si>
  <si>
    <t>externe he</t>
  </si>
  <si>
    <t>Rhe externe</t>
  </si>
  <si>
    <t>Racier acier</t>
  </si>
  <si>
    <t xml:space="preserve">Bonjour </t>
  </si>
  <si>
    <t>U [W/m²K)</t>
  </si>
  <si>
    <t>U [W/m²K]</t>
  </si>
  <si>
    <t>U avec calorifure</t>
  </si>
  <si>
    <t>Ts avec calo [°C]</t>
  </si>
  <si>
    <t>CALCUL PERTES DE CHARGE AERAULIQUES</t>
  </si>
  <si>
    <t>Temperature [°C]</t>
  </si>
  <si>
    <t>viscosité dynamique</t>
  </si>
  <si>
    <t>Reynold Re</t>
  </si>
  <si>
    <t>g [m/s²]</t>
  </si>
  <si>
    <t>reynold</t>
  </si>
  <si>
    <t>périmètre cylindre</t>
  </si>
  <si>
    <t>Dh</t>
  </si>
  <si>
    <t>conductiité acier</t>
  </si>
  <si>
    <t>capacité thermique massique Cp</t>
  </si>
  <si>
    <t xml:space="preserve">Prandtl  </t>
  </si>
  <si>
    <t>Nu</t>
  </si>
  <si>
    <t>coefficient convection h</t>
  </si>
  <si>
    <t>temperature de Sortie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</si>
</sst>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9" borderId="1" xfId="0" applyFill="1" applyBorder="1"/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0" fontId="0" fillId="9" borderId="3" xfId="0" applyFill="1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0" xfId="0" applyFont="1" applyFill="1"/>
    <xf numFmtId="0" fontId="5" fillId="7" borderId="0" xfId="0" applyFont="1" applyFill="1"/>
    <xf numFmtId="0" fontId="3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50donn&#233;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donné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1"/>
      <sheetName val="données"/>
      <sheetName val="ressource"/>
      <sheetName val="point de rosée"/>
      <sheetName val="déperdition de chaleur"/>
    </sheetNames>
    <sheetDataSet>
      <sheetData sheetId="0">
        <row r="7">
          <cell r="B7">
            <v>20</v>
          </cell>
        </row>
        <row r="18">
          <cell r="C18">
            <v>250</v>
          </cell>
        </row>
        <row r="19">
          <cell r="C19">
            <v>250</v>
          </cell>
        </row>
        <row r="21">
          <cell r="C21">
            <v>250</v>
          </cell>
        </row>
        <row r="22">
          <cell r="C22">
            <v>250</v>
          </cell>
        </row>
        <row r="24">
          <cell r="C24">
            <v>250</v>
          </cell>
        </row>
        <row r="25">
          <cell r="C25">
            <v>250</v>
          </cell>
        </row>
        <row r="27">
          <cell r="C27">
            <v>350</v>
          </cell>
        </row>
        <row r="28">
          <cell r="C28">
            <v>250</v>
          </cell>
        </row>
        <row r="30">
          <cell r="C30">
            <v>350</v>
          </cell>
        </row>
        <row r="31">
          <cell r="C31">
            <v>400</v>
          </cell>
        </row>
        <row r="32">
          <cell r="C32">
            <v>350</v>
          </cell>
        </row>
      </sheetData>
      <sheetData sheetId="1"/>
      <sheetData sheetId="2">
        <row r="6">
          <cell r="I6">
            <v>1.8154951198193598E-5</v>
          </cell>
        </row>
        <row r="7">
          <cell r="I7">
            <v>1.9511862420641601E-5</v>
          </cell>
        </row>
        <row r="8">
          <cell r="I8">
            <v>2.1678937393521602E-5</v>
          </cell>
        </row>
        <row r="9">
          <cell r="I9">
            <v>2.3733732822401602E-5</v>
          </cell>
        </row>
        <row r="10">
          <cell r="I10">
            <v>2.5682912307281602E-5</v>
          </cell>
        </row>
        <row r="11">
          <cell r="I11">
            <v>2.7533139448161604E-5</v>
          </cell>
        </row>
        <row r="12">
          <cell r="I12">
            <v>2.9291077845041605E-5</v>
          </cell>
        </row>
        <row r="13">
          <cell r="I13">
            <v>3.0963391097921601E-5</v>
          </cell>
        </row>
        <row r="14">
          <cell r="I14">
            <v>3.2556742806801601E-5</v>
          </cell>
        </row>
        <row r="15">
          <cell r="I15">
            <v>3.4077796571681608E-5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C1" workbookViewId="0">
      <selection activeCell="K13" sqref="K13"/>
    </sheetView>
  </sheetViews>
  <sheetFormatPr baseColWidth="10" defaultRowHeight="15" x14ac:dyDescent="0.25"/>
  <cols>
    <col min="1" max="1" width="16.42578125" customWidth="1"/>
    <col min="2" max="2" width="32.140625" customWidth="1"/>
    <col min="3" max="3" width="19.28515625" customWidth="1"/>
    <col min="4" max="4" width="22.85546875" customWidth="1"/>
    <col min="5" max="5" width="42.7109375" customWidth="1"/>
    <col min="6" max="6" width="24.42578125" customWidth="1"/>
    <col min="7" max="7" width="21.85546875" customWidth="1"/>
    <col min="8" max="8" width="19.7109375" customWidth="1"/>
    <col min="9" max="9" width="26" customWidth="1"/>
    <col min="10" max="10" width="19.85546875" customWidth="1"/>
    <col min="11" max="11" width="25.28515625" customWidth="1"/>
    <col min="12" max="12" width="31.42578125" customWidth="1"/>
    <col min="13" max="13" width="26.28515625" customWidth="1"/>
    <col min="14" max="14" width="21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33" t="s">
        <v>0</v>
      </c>
      <c r="B2" s="33"/>
      <c r="C2" s="34"/>
      <c r="D2" s="34"/>
      <c r="E2" s="34"/>
      <c r="M2" s="1"/>
      <c r="N2" s="1"/>
    </row>
    <row r="3" spans="1:14" x14ac:dyDescent="0.25">
      <c r="B3" s="2"/>
      <c r="C3" s="2"/>
      <c r="D3" s="2"/>
      <c r="J3" s="3" t="s">
        <v>1</v>
      </c>
      <c r="K3" s="4" t="s">
        <v>2</v>
      </c>
      <c r="M3" s="3" t="s">
        <v>3</v>
      </c>
      <c r="N3" s="5" t="s">
        <v>59</v>
      </c>
    </row>
    <row r="4" spans="1:14" ht="15.75" x14ac:dyDescent="0.25">
      <c r="A4" s="6" t="s">
        <v>4</v>
      </c>
      <c r="B4" s="2"/>
      <c r="C4" s="2" t="s">
        <v>5</v>
      </c>
      <c r="D4" s="2" t="s">
        <v>6</v>
      </c>
      <c r="E4" s="2" t="s">
        <v>7</v>
      </c>
      <c r="J4" t="s">
        <v>8</v>
      </c>
      <c r="K4">
        <v>27</v>
      </c>
      <c r="M4" s="1" t="s">
        <v>9</v>
      </c>
      <c r="N4" s="1">
        <v>50</v>
      </c>
    </row>
    <row r="5" spans="1:14" x14ac:dyDescent="0.25">
      <c r="J5" t="s">
        <v>10</v>
      </c>
      <c r="K5">
        <v>15</v>
      </c>
      <c r="M5" s="1" t="s">
        <v>11</v>
      </c>
      <c r="N5" s="1"/>
    </row>
    <row r="6" spans="1:14" x14ac:dyDescent="0.25">
      <c r="H6" t="s">
        <v>12</v>
      </c>
      <c r="M6" s="1"/>
      <c r="N6" s="1"/>
    </row>
    <row r="7" spans="1:14" x14ac:dyDescent="0.25"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67</v>
      </c>
      <c r="H7" s="1"/>
      <c r="I7" s="1"/>
      <c r="J7" s="1"/>
      <c r="K7" s="1"/>
      <c r="L7" s="1"/>
      <c r="M7" s="1"/>
      <c r="N7" s="1"/>
    </row>
    <row r="8" spans="1:14" x14ac:dyDescent="0.25">
      <c r="B8">
        <v>20</v>
      </c>
      <c r="C8">
        <v>50</v>
      </c>
      <c r="D8">
        <v>-20</v>
      </c>
      <c r="E8">
        <f>IF(C8=20,données!I6,IF(C8=50,données!I7,IF(C8=100,données!I8,IF(C8=150,données!I9,IF(C8=200,données!I10,IF(C8=250,données!I11,IF(C8=300,données!I12,IF(C8=350,données!I13,IF(C8=400,données!I14,IF(C8=450,données!I15,FALSE))))))))))</f>
        <v>1.0879551083591332</v>
      </c>
      <c r="F8">
        <v>1000</v>
      </c>
      <c r="G8">
        <f>1/((1/K4)+(1/K5))</f>
        <v>9.6428571428571423</v>
      </c>
      <c r="M8" s="1"/>
      <c r="N8" s="1"/>
    </row>
    <row r="9" spans="1:14" x14ac:dyDescent="0.25">
      <c r="M9" s="1"/>
      <c r="N9" s="1"/>
    </row>
    <row r="10" spans="1:14" x14ac:dyDescent="0.25">
      <c r="K10" t="s">
        <v>19</v>
      </c>
      <c r="M10" s="1"/>
      <c r="N10" s="1"/>
    </row>
    <row r="11" spans="1:14" x14ac:dyDescent="0.25"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 t="s">
        <v>84</v>
      </c>
      <c r="L12" s="1"/>
      <c r="M12" s="1"/>
      <c r="N12" s="1"/>
    </row>
    <row r="13" spans="1:14" x14ac:dyDescent="0.25">
      <c r="A13" s="1"/>
      <c r="B13" s="8" t="s">
        <v>20</v>
      </c>
      <c r="C13" s="9" t="s">
        <v>21</v>
      </c>
      <c r="D13" s="10" t="s">
        <v>22</v>
      </c>
      <c r="E13" s="3" t="s">
        <v>23</v>
      </c>
      <c r="F13" s="3" t="s">
        <v>24</v>
      </c>
      <c r="G13" s="3" t="s">
        <v>25</v>
      </c>
      <c r="H13" s="3" t="s">
        <v>26</v>
      </c>
      <c r="I13" s="3" t="s">
        <v>27</v>
      </c>
      <c r="J13" s="4" t="s">
        <v>68</v>
      </c>
      <c r="K13" s="4" t="s">
        <v>28</v>
      </c>
      <c r="L13" s="4" t="s">
        <v>69</v>
      </c>
      <c r="M13" s="4" t="s">
        <v>70</v>
      </c>
      <c r="N13" s="1"/>
    </row>
    <row r="14" spans="1:14" x14ac:dyDescent="0.25">
      <c r="A14" s="1"/>
      <c r="B14" t="s">
        <v>29</v>
      </c>
      <c r="C14" s="9">
        <f>[2]FD1!C18</f>
        <v>250</v>
      </c>
      <c r="D14" s="11">
        <v>170</v>
      </c>
      <c r="E14" s="11">
        <f>(PI()*((C14)*(10^(-3)))^2)/4</f>
        <v>4.9087385212340517E-2</v>
      </c>
      <c r="F14">
        <f>2*PI()*((C14*10^(-3))/2)*D14</f>
        <v>133.51768777756621</v>
      </c>
      <c r="G14" s="11">
        <f>E14*$B$8*3600</f>
        <v>3534.2917352885174</v>
      </c>
      <c r="H14">
        <f>G14/3600</f>
        <v>0.98174770424681035</v>
      </c>
      <c r="I14" s="1">
        <f>$E$8*E14*$B$8</f>
        <v>1.0680974299551687</v>
      </c>
      <c r="J14" s="1">
        <f>1/((1/$K$4)+(D14/$N$4)+(1/$K$5))</f>
        <v>0.28541226215644816</v>
      </c>
      <c r="K14" s="1">
        <f>($C$8*(I14*$F$8-(J14*F14)/2)+$D$8*J14*F14)/((J14*F14)/2 +I14*$F$8)</f>
        <v>47.546311022808482</v>
      </c>
      <c r="L14" s="1">
        <f>1/((1/$K$4)+(D14/$N$4)+(1/$K$5)+(170/0.034))</f>
        <v>1.9985994999059919E-4</v>
      </c>
      <c r="M14" s="1">
        <f>($C$8*(I14*$F$8-(L14*F14)/2)+$D$8*L14*F14)/((L14*F14)/2 +I14*$F$8)</f>
        <v>49.998251175124842</v>
      </c>
      <c r="N14" s="1"/>
    </row>
    <row r="15" spans="1:14" x14ac:dyDescent="0.25">
      <c r="A15" s="1"/>
      <c r="B15" s="12" t="s">
        <v>30</v>
      </c>
      <c r="C15" s="9">
        <f>[2]FD1!C19</f>
        <v>250</v>
      </c>
      <c r="D15" s="10">
        <v>190</v>
      </c>
      <c r="E15" s="10">
        <f>(PI()*((C15)*(10^(-3)))^2)/4</f>
        <v>4.9087385212340517E-2</v>
      </c>
      <c r="F15" s="10">
        <f t="shared" ref="F15:F28" si="0">2*PI()*((C15*10^(-3))/2)*D15</f>
        <v>149.22565104551518</v>
      </c>
      <c r="G15" s="10">
        <f>E15*$B$8*3600</f>
        <v>3534.2917352885174</v>
      </c>
      <c r="H15" s="10">
        <f t="shared" ref="H15:H28" si="1">G15/3600</f>
        <v>0.98174770424681035</v>
      </c>
      <c r="I15" s="10">
        <f t="shared" ref="I15:I28" si="2">$E$8*E15*$B$8</f>
        <v>1.0680974299551687</v>
      </c>
      <c r="J15" s="14">
        <f t="shared" ref="J15:J28" si="3">1/((1/$K$4)+(D15/$N$4)+(1/$K$5))</f>
        <v>0.25616698292220114</v>
      </c>
      <c r="K15" s="14">
        <f t="shared" ref="K15:K28" si="4">($C$8*(I15*$F$8-(J15*F15)/2)+$D$8*J15*F15)/((J15*F15)/2 +I15*$F$8)</f>
        <v>47.53877720471354</v>
      </c>
      <c r="L15" s="14">
        <f t="shared" ref="L15:L29" si="5">1/((1/$K$4)+(D15/$N$4)+(1/$K$5)+(170/0.034))</f>
        <v>1.9984397366796592E-4</v>
      </c>
      <c r="M15" s="14">
        <f t="shared" ref="M15:M29" si="6">($C$8*(I15*$F$8-(L15*F15)/2)+$D$8*L15*F15)/((L15*F15)/2 +I15*$F$8)</f>
        <v>49.998045590135455</v>
      </c>
      <c r="N15" s="1"/>
    </row>
    <row r="16" spans="1:14" x14ac:dyDescent="0.2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/>
    </row>
    <row r="17" spans="1:14" x14ac:dyDescent="0.25">
      <c r="A17" s="1"/>
      <c r="B17" t="s">
        <v>31</v>
      </c>
      <c r="C17" s="9">
        <f>[2]FD1!C21</f>
        <v>250</v>
      </c>
      <c r="D17">
        <v>145</v>
      </c>
      <c r="E17" s="11">
        <f>(PI()*((C17)*(10^(-3)))^2)/4</f>
        <v>4.9087385212340517E-2</v>
      </c>
      <c r="F17">
        <f t="shared" si="0"/>
        <v>113.88273369263</v>
      </c>
      <c r="G17" s="11">
        <f>E17*$B$8*3600</f>
        <v>3534.2917352885174</v>
      </c>
      <c r="H17">
        <f t="shared" si="1"/>
        <v>0.98174770424681035</v>
      </c>
      <c r="I17" s="1">
        <f t="shared" si="2"/>
        <v>1.0680974299551687</v>
      </c>
      <c r="J17" s="1">
        <f t="shared" si="3"/>
        <v>0.33292231812577061</v>
      </c>
      <c r="K17" s="1">
        <f t="shared" si="4"/>
        <v>47.55855175328486</v>
      </c>
      <c r="L17" s="1">
        <f t="shared" si="5"/>
        <v>1.9987992398640521E-4</v>
      </c>
      <c r="M17" s="1">
        <f t="shared" si="6"/>
        <v>49.998508203439798</v>
      </c>
      <c r="N17" s="1"/>
    </row>
    <row r="18" spans="1:14" x14ac:dyDescent="0.25">
      <c r="A18" s="1"/>
      <c r="B18" s="12" t="s">
        <v>32</v>
      </c>
      <c r="C18" s="9">
        <f>[2]FD1!C22</f>
        <v>250</v>
      </c>
      <c r="D18" s="10">
        <v>172</v>
      </c>
      <c r="E18" s="10">
        <f>(PI()*((C18)*(10^(-3)))^2)/4</f>
        <v>4.9087385212340517E-2</v>
      </c>
      <c r="F18" s="10">
        <f t="shared" si="0"/>
        <v>135.0884841043611</v>
      </c>
      <c r="G18" s="10">
        <f>E18*$B$8*3600</f>
        <v>3534.2917352885174</v>
      </c>
      <c r="H18" s="10">
        <f t="shared" si="1"/>
        <v>0.98174770424681035</v>
      </c>
      <c r="I18" s="10">
        <f t="shared" si="2"/>
        <v>1.0680974299551687</v>
      </c>
      <c r="J18" s="14">
        <f t="shared" si="3"/>
        <v>0.28219063545150497</v>
      </c>
      <c r="K18" s="14">
        <f t="shared" si="4"/>
        <v>47.545481065522559</v>
      </c>
      <c r="L18" s="14">
        <f t="shared" si="5"/>
        <v>1.998583522433878E-4</v>
      </c>
      <c r="M18" s="14">
        <f t="shared" si="6"/>
        <v>49.998230615119574</v>
      </c>
      <c r="N18" s="1"/>
    </row>
    <row r="19" spans="1:14" x14ac:dyDescent="0.2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/>
    </row>
    <row r="20" spans="1:14" x14ac:dyDescent="0.25">
      <c r="A20" s="1"/>
      <c r="B20" t="s">
        <v>33</v>
      </c>
      <c r="C20" s="9">
        <f>[2]FD1!C24</f>
        <v>250</v>
      </c>
      <c r="D20">
        <v>120</v>
      </c>
      <c r="E20" s="11">
        <f>(PI()*((C20)*(10^(-3)))^2)/4</f>
        <v>4.9087385212340517E-2</v>
      </c>
      <c r="F20">
        <f t="shared" si="0"/>
        <v>94.247779607693786</v>
      </c>
      <c r="G20" s="11">
        <f>E20*$B$8*3600</f>
        <v>3534.2917352885174</v>
      </c>
      <c r="H20">
        <f t="shared" si="1"/>
        <v>0.98174770424681035</v>
      </c>
      <c r="I20" s="1">
        <f t="shared" si="2"/>
        <v>1.0680974299551687</v>
      </c>
      <c r="J20" s="1">
        <f t="shared" si="3"/>
        <v>0.39940828402366857</v>
      </c>
      <c r="K20" s="1">
        <f t="shared" si="4"/>
        <v>47.575685191124094</v>
      </c>
      <c r="L20" s="1">
        <f t="shared" si="5"/>
        <v>1.9989990197501103E-4</v>
      </c>
      <c r="M20" s="1">
        <f t="shared" si="6"/>
        <v>49.998765284078722</v>
      </c>
      <c r="N20" s="1"/>
    </row>
    <row r="21" spans="1:14" x14ac:dyDescent="0.25">
      <c r="A21" s="1"/>
      <c r="B21" s="12" t="s">
        <v>34</v>
      </c>
      <c r="C21" s="9">
        <f>[2]FD1!C25</f>
        <v>250</v>
      </c>
      <c r="D21" s="10">
        <v>140</v>
      </c>
      <c r="E21" s="10">
        <f>(PI()*((C21)*(10^(-3)))^2)/4</f>
        <v>4.9087385212340517E-2</v>
      </c>
      <c r="F21" s="10">
        <f t="shared" si="0"/>
        <v>109.95574287564276</v>
      </c>
      <c r="G21" s="10">
        <f>E21*$B$8*3600</f>
        <v>3534.2917352885174</v>
      </c>
      <c r="H21" s="10">
        <f t="shared" si="1"/>
        <v>0.98174770424681035</v>
      </c>
      <c r="I21" s="10">
        <f t="shared" si="2"/>
        <v>1.0680974299551687</v>
      </c>
      <c r="J21" s="14">
        <f t="shared" si="3"/>
        <v>0.34438775510204078</v>
      </c>
      <c r="K21" s="14">
        <f t="shared" si="4"/>
        <v>47.56150609263976</v>
      </c>
      <c r="L21" s="14">
        <f t="shared" si="5"/>
        <v>1.998839192646641E-4</v>
      </c>
      <c r="M21" s="14">
        <f t="shared" si="6"/>
        <v>49.998559615381147</v>
      </c>
      <c r="N21" s="1"/>
    </row>
    <row r="22" spans="1:14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/>
    </row>
    <row r="23" spans="1:14" x14ac:dyDescent="0.25">
      <c r="A23" s="1"/>
      <c r="B23" t="s">
        <v>35</v>
      </c>
      <c r="C23" s="1">
        <f>[2]FD1!C27</f>
        <v>350</v>
      </c>
      <c r="D23">
        <v>184</v>
      </c>
      <c r="E23" s="1">
        <f>(PI()*((C23)*(10^(-3)))^2)/4</f>
        <v>9.6211275016187439E-2</v>
      </c>
      <c r="F23">
        <f t="shared" si="0"/>
        <v>202.31856689118268</v>
      </c>
      <c r="G23" s="1">
        <f>E23*$B$8*3600</f>
        <v>6927.2118011654957</v>
      </c>
      <c r="H23">
        <f t="shared" si="1"/>
        <v>1.9242255003237487</v>
      </c>
      <c r="I23" s="1">
        <f t="shared" si="2"/>
        <v>2.0934709627121313</v>
      </c>
      <c r="J23" s="1">
        <f t="shared" si="3"/>
        <v>0.264291307752545</v>
      </c>
      <c r="K23" s="1">
        <f t="shared" si="4"/>
        <v>48.234618780966549</v>
      </c>
      <c r="L23" s="1">
        <f t="shared" si="5"/>
        <v>1.9984876629655662E-4</v>
      </c>
      <c r="M23" s="1">
        <f t="shared" si="6"/>
        <v>49.998648039147476</v>
      </c>
      <c r="N23" s="1"/>
    </row>
    <row r="24" spans="1:14" x14ac:dyDescent="0.25">
      <c r="A24" s="1"/>
      <c r="B24" s="10" t="s">
        <v>36</v>
      </c>
      <c r="C24" s="14">
        <f>[2]FD1!C28</f>
        <v>250</v>
      </c>
      <c r="D24" s="10">
        <v>191</v>
      </c>
      <c r="E24" s="10">
        <f>(PI()*((C24)*(10^(-3)))^2)/4</f>
        <v>4.9087385212340517E-2</v>
      </c>
      <c r="F24" s="10">
        <f t="shared" si="0"/>
        <v>150.01104920891262</v>
      </c>
      <c r="G24" s="10">
        <f>E24*$B$8*3600</f>
        <v>3534.2917352885174</v>
      </c>
      <c r="H24" s="10">
        <f t="shared" si="1"/>
        <v>0.98174770424681035</v>
      </c>
      <c r="I24" s="10">
        <f t="shared" si="2"/>
        <v>1.0680974299551687</v>
      </c>
      <c r="J24" s="14">
        <f t="shared" si="3"/>
        <v>0.25486124221257311</v>
      </c>
      <c r="K24" s="14">
        <f t="shared" si="4"/>
        <v>47.538440854698273</v>
      </c>
      <c r="L24" s="14">
        <f t="shared" si="5"/>
        <v>1.9984317491888217E-4</v>
      </c>
      <c r="M24" s="14">
        <f t="shared" si="6"/>
        <v>49.998035311764589</v>
      </c>
      <c r="N24" s="1"/>
    </row>
    <row r="25" spans="1:14" x14ac:dyDescent="0.2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/>
    </row>
    <row r="26" spans="1:14" x14ac:dyDescent="0.25">
      <c r="A26" s="1"/>
      <c r="B26" t="s">
        <v>37</v>
      </c>
      <c r="C26" s="1">
        <f>[2]FD1!C30</f>
        <v>350</v>
      </c>
      <c r="D26">
        <v>140</v>
      </c>
      <c r="E26" s="1">
        <f>(PI()*((C26)*(10^(-3)))^2)/4</f>
        <v>9.6211275016187439E-2</v>
      </c>
      <c r="F26">
        <f t="shared" si="0"/>
        <v>153.93804002589985</v>
      </c>
      <c r="G26" s="1">
        <f>E26*$B$8*3600</f>
        <v>6927.2118011654957</v>
      </c>
      <c r="H26">
        <f t="shared" si="1"/>
        <v>1.9242255003237487</v>
      </c>
      <c r="I26" s="1">
        <f t="shared" si="2"/>
        <v>2.0934709627121313</v>
      </c>
      <c r="J26" s="1">
        <f t="shared" si="3"/>
        <v>0.34438775510204078</v>
      </c>
      <c r="K26" s="1">
        <f t="shared" si="4"/>
        <v>48.24950727875158</v>
      </c>
      <c r="L26" s="1">
        <f t="shared" si="5"/>
        <v>1.998839192646641E-4</v>
      </c>
      <c r="M26" s="1">
        <f t="shared" si="6"/>
        <v>49.998971150819301</v>
      </c>
      <c r="N26" s="1"/>
    </row>
    <row r="27" spans="1:14" x14ac:dyDescent="0.25">
      <c r="A27" s="1"/>
      <c r="B27" s="10" t="s">
        <v>38</v>
      </c>
      <c r="C27" s="14">
        <f>[2]FD1!C31</f>
        <v>400</v>
      </c>
      <c r="D27" s="10">
        <v>125</v>
      </c>
      <c r="E27" s="10">
        <f>(PI()*((C27)*(10^(-3)))^2)/4</f>
        <v>0.12566370614359174</v>
      </c>
      <c r="F27" s="10">
        <f t="shared" si="0"/>
        <v>157.07963267948966</v>
      </c>
      <c r="G27" s="10">
        <f>E27*$B$8*3600</f>
        <v>9047.7868423386044</v>
      </c>
      <c r="H27" s="10">
        <f t="shared" si="1"/>
        <v>2.5132741228718345</v>
      </c>
      <c r="I27" s="10">
        <f t="shared" si="2"/>
        <v>2.7343294206852327</v>
      </c>
      <c r="J27" s="14">
        <f t="shared" si="3"/>
        <v>0.38406827880512084</v>
      </c>
      <c r="K27" s="14">
        <f t="shared" si="4"/>
        <v>48.472396330054139</v>
      </c>
      <c r="L27" s="14">
        <f t="shared" si="5"/>
        <v>1.9989590605780841E-4</v>
      </c>
      <c r="M27" s="14">
        <f t="shared" si="6"/>
        <v>49.999196162083422</v>
      </c>
      <c r="N27" s="1"/>
    </row>
    <row r="28" spans="1:14" x14ac:dyDescent="0.25">
      <c r="A28" s="1"/>
      <c r="B28" t="s">
        <v>39</v>
      </c>
      <c r="C28" s="1">
        <f>[2]FD1!C32</f>
        <v>350</v>
      </c>
      <c r="D28">
        <v>120</v>
      </c>
      <c r="E28" s="1">
        <f>(PI()*((C28)*(10^(-3)))^2)/4</f>
        <v>9.6211275016187439E-2</v>
      </c>
      <c r="F28">
        <f t="shared" si="0"/>
        <v>131.94689145077132</v>
      </c>
      <c r="G28" s="1">
        <f>E28*$B$8*3600</f>
        <v>6927.2118011654957</v>
      </c>
      <c r="H28">
        <f t="shared" si="1"/>
        <v>1.9242255003237487</v>
      </c>
      <c r="I28" s="1">
        <f t="shared" si="2"/>
        <v>2.0934709627121313</v>
      </c>
      <c r="J28" s="1">
        <f t="shared" si="3"/>
        <v>0.39940828402366857</v>
      </c>
      <c r="K28" s="1">
        <f t="shared" si="4"/>
        <v>48.259736469889887</v>
      </c>
      <c r="L28" s="1">
        <f t="shared" si="5"/>
        <v>1.9989990197501103E-4</v>
      </c>
      <c r="M28" s="1">
        <f t="shared" si="6"/>
        <v>49.999118057833897</v>
      </c>
      <c r="N28" s="1"/>
    </row>
    <row r="29" spans="1:14" x14ac:dyDescent="0.2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/>
    </row>
    <row r="30" spans="1:14" x14ac:dyDescent="0.25">
      <c r="A30" s="1"/>
      <c r="I30" s="1"/>
      <c r="J30" s="1"/>
      <c r="K30" s="1"/>
      <c r="L30" s="1"/>
      <c r="M30" s="1"/>
      <c r="N30" s="1"/>
    </row>
    <row r="31" spans="1:14" x14ac:dyDescent="0.25">
      <c r="A31" s="1"/>
      <c r="B31" s="8"/>
      <c r="I31" s="1"/>
      <c r="J31" s="1"/>
      <c r="K31" s="1"/>
      <c r="L31" s="1"/>
      <c r="M31" s="1"/>
      <c r="N31" s="1"/>
    </row>
    <row r="32" spans="1:14" x14ac:dyDescent="0.25">
      <c r="B32" s="3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dataConsolidate/>
  <mergeCells count="2">
    <mergeCell ref="A2:B2"/>
    <mergeCell ref="C2:E2"/>
  </mergeCell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données!$C$6:$C$12</xm:f>
          </x14:formula1>
          <xm:sqref>D8</xm:sqref>
        </x14:dataValidation>
        <x14:dataValidation type="list" allowBlank="1" showInputMessage="1" showErrorMessage="1">
          <x14:formula1>
            <xm:f>données!$G$6:$G$15</xm:f>
          </x14:formula1>
          <xm:sqref>C8</xm:sqref>
        </x14:dataValidation>
        <x14:dataValidation type="list" allowBlank="1" showInputMessage="1" showErrorMessage="1">
          <x14:formula1>
            <xm:f>données!$D$6:$D$9</xm:f>
          </x14:formula1>
          <xm:sqref>B8</xm:sqref>
        </x14:dataValidation>
        <x14:dataValidation type="list" allowBlank="1" showInputMessage="1" showErrorMessage="1">
          <x14:formula1>
            <xm:f>[alex.xlsx]ressource!#REF!</xm:f>
          </x14:formula1>
          <xm:sqref>C25 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F10" sqref="F10"/>
    </sheetView>
  </sheetViews>
  <sheetFormatPr baseColWidth="10" defaultRowHeight="15" x14ac:dyDescent="0.25"/>
  <cols>
    <col min="1" max="1" width="17.140625" customWidth="1"/>
    <col min="2" max="2" width="22" customWidth="1"/>
    <col min="3" max="3" width="29.5703125" customWidth="1"/>
    <col min="4" max="4" width="27.28515625" customWidth="1"/>
    <col min="5" max="5" width="32.28515625" customWidth="1"/>
    <col min="6" max="6" width="27.42578125" customWidth="1"/>
    <col min="7" max="7" width="30.42578125" customWidth="1"/>
    <col min="8" max="8" width="27.140625" customWidth="1"/>
    <col min="9" max="9" width="32.7109375" customWidth="1"/>
    <col min="10" max="10" width="26.28515625" customWidth="1"/>
    <col min="11" max="11" width="25.42578125" customWidth="1"/>
    <col min="12" max="12" width="27.28515625" customWidth="1"/>
    <col min="13" max="13" width="29.7109375" customWidth="1"/>
    <col min="14" max="14" width="21.85546875" customWidth="1"/>
    <col min="15" max="15" width="21.42578125" customWidth="1"/>
    <col min="16" max="16" width="32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</row>
    <row r="2" spans="1:16" ht="15.75" x14ac:dyDescent="0.25">
      <c r="A2" s="33" t="s">
        <v>0</v>
      </c>
      <c r="B2" s="33"/>
      <c r="C2" s="34"/>
      <c r="D2" s="34"/>
      <c r="E2" s="34"/>
    </row>
    <row r="3" spans="1:16" x14ac:dyDescent="0.25">
      <c r="B3" s="2"/>
      <c r="C3" s="2"/>
      <c r="D3" s="2"/>
      <c r="J3" s="3" t="s">
        <v>1</v>
      </c>
      <c r="K3" s="4" t="s">
        <v>2</v>
      </c>
      <c r="M3" s="3" t="s">
        <v>3</v>
      </c>
      <c r="N3" s="5" t="s">
        <v>59</v>
      </c>
    </row>
    <row r="4" spans="1:16" ht="15.75" x14ac:dyDescent="0.25">
      <c r="A4" s="6" t="s">
        <v>4</v>
      </c>
      <c r="B4" s="2"/>
      <c r="C4" s="2" t="s">
        <v>5</v>
      </c>
      <c r="D4" s="2" t="s">
        <v>6</v>
      </c>
      <c r="E4" s="2" t="s">
        <v>7</v>
      </c>
      <c r="J4" t="s">
        <v>62</v>
      </c>
      <c r="K4">
        <v>27</v>
      </c>
      <c r="M4" s="1" t="s">
        <v>9</v>
      </c>
      <c r="N4" s="1">
        <v>50</v>
      </c>
    </row>
    <row r="5" spans="1:16" x14ac:dyDescent="0.25">
      <c r="J5" t="s">
        <v>63</v>
      </c>
      <c r="K5">
        <v>15</v>
      </c>
      <c r="M5" s="1" t="s">
        <v>11</v>
      </c>
      <c r="N5" s="1"/>
    </row>
    <row r="6" spans="1:16" x14ac:dyDescent="0.25">
      <c r="H6" t="s">
        <v>12</v>
      </c>
      <c r="P6" t="s">
        <v>66</v>
      </c>
    </row>
    <row r="7" spans="1:16" x14ac:dyDescent="0.25"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1"/>
      <c r="I7" s="1"/>
    </row>
    <row r="8" spans="1:16" x14ac:dyDescent="0.25">
      <c r="B8">
        <v>20</v>
      </c>
      <c r="C8">
        <v>50</v>
      </c>
      <c r="D8">
        <v>-20</v>
      </c>
      <c r="E8">
        <f>IF(C8=20,données!I6,IF(C8=50,données!I7,IF(C8=100,données!I8,IF(C8=150,données!I9,IF(C8=200,données!I10,IF(C8=250,données!I11,IF(C8=300,données!I12,IF(C8='[1]350données'!I13,IF(C8=400,données!I14,IF(C8=450,données!I15,FALSE))))))))))</f>
        <v>1.0879551083591332</v>
      </c>
      <c r="F8">
        <v>1000</v>
      </c>
      <c r="G8">
        <f>1/((1/K4)+(1/K5))</f>
        <v>9.6428571428571423</v>
      </c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6" x14ac:dyDescent="0.25">
      <c r="A13" s="1"/>
      <c r="B13" s="8" t="s">
        <v>20</v>
      </c>
      <c r="C13" s="9" t="s">
        <v>21</v>
      </c>
      <c r="D13" s="9" t="s">
        <v>56</v>
      </c>
      <c r="E13" s="9" t="s">
        <v>57</v>
      </c>
      <c r="F13" s="10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65</v>
      </c>
      <c r="M13" s="3" t="s">
        <v>61</v>
      </c>
      <c r="N13" s="3" t="s">
        <v>64</v>
      </c>
      <c r="O13" s="3" t="s">
        <v>60</v>
      </c>
      <c r="P13" s="3" t="s">
        <v>58</v>
      </c>
    </row>
    <row r="14" spans="1:16" x14ac:dyDescent="0.25">
      <c r="A14" s="1"/>
      <c r="B14" t="s">
        <v>29</v>
      </c>
      <c r="C14" s="9">
        <v>250</v>
      </c>
      <c r="D14" s="9">
        <f>(C14/2)*10^(-3)</f>
        <v>0.125</v>
      </c>
      <c r="E14" s="9">
        <f>((C14+6)/2)*10^(-3)</f>
        <v>0.128</v>
      </c>
      <c r="F14" s="11">
        <v>170</v>
      </c>
      <c r="G14" s="11">
        <f>(PI()*((C14)*(10^(-3)))^2)/4</f>
        <v>4.9087385212340517E-2</v>
      </c>
      <c r="H14">
        <f>2*PI()*((C14*10^(-3))/2)*F14</f>
        <v>133.51768777756621</v>
      </c>
      <c r="I14" s="11">
        <f>G14*$B$8*3600</f>
        <v>3534.2917352885174</v>
      </c>
      <c r="J14">
        <f>I14/3600</f>
        <v>0.98174770424681035</v>
      </c>
      <c r="K14" s="1">
        <f>$E$8*G14*$B$8</f>
        <v>1.0680974299551687</v>
      </c>
      <c r="L14">
        <f>(LN(E14/D14))/(2*PI()*$N$4*F14)</f>
        <v>4.440708757783952E-7</v>
      </c>
      <c r="M14">
        <f>1/($K$4*H14)</f>
        <v>2.7739423632574351E-4</v>
      </c>
      <c r="N14">
        <f>1/($K$5*H14)</f>
        <v>4.9930962538633828E-4</v>
      </c>
      <c r="O14">
        <f>L14+M14+N14</f>
        <v>7.7714793258786019E-4</v>
      </c>
      <c r="P14">
        <f>-$N$4*2*PI()*((E14+D14)/2) *(($D$8-$C$8)/LN(E14/D14))*1/((D14+E14)/2)</f>
        <v>927249.96918698179</v>
      </c>
    </row>
    <row r="15" spans="1:16" x14ac:dyDescent="0.25">
      <c r="A15" s="1"/>
      <c r="B15" s="12" t="s">
        <v>30</v>
      </c>
      <c r="C15" s="9">
        <v>250</v>
      </c>
      <c r="D15" s="9">
        <f t="shared" ref="D15:D28" si="0">(C15/2)*10^(-3)</f>
        <v>0.125</v>
      </c>
      <c r="E15" s="9">
        <f t="shared" ref="E15:E28" si="1">((C15+6)/2)*10^(-3)</f>
        <v>0.128</v>
      </c>
      <c r="F15" s="10">
        <v>190</v>
      </c>
      <c r="G15" s="10">
        <f>(PI()*((C15)*(10^(-3)))^2)/4</f>
        <v>4.9087385212340517E-2</v>
      </c>
      <c r="H15" s="10">
        <f>2*PI()*((C15*10^(-3))/2)*F15</f>
        <v>149.22565104551518</v>
      </c>
      <c r="I15" s="10">
        <f>G15*$B$8*3600</f>
        <v>3534.2917352885174</v>
      </c>
      <c r="J15" s="10">
        <f t="shared" ref="J15:J28" si="2">I15/3600</f>
        <v>0.98174770424681035</v>
      </c>
      <c r="K15" s="10">
        <f t="shared" ref="K15:K28" si="3">$E$8*G15*$B$8</f>
        <v>1.0680974299551687</v>
      </c>
      <c r="L15" s="14">
        <f t="shared" ref="L15:L28" si="4">(LN(E15/D15))/(2*PI()*$N$4*F15)</f>
        <v>3.973265730648799E-7</v>
      </c>
      <c r="M15" s="14">
        <f t="shared" ref="M15:M28" si="5">1/($K$4*H15)</f>
        <v>2.4819484302829683E-4</v>
      </c>
      <c r="N15" s="14">
        <f>1/($K$5*H15)</f>
        <v>4.4675071745093432E-4</v>
      </c>
      <c r="O15" s="14">
        <f t="shared" ref="O15:O28" si="6">L15+M15+N15</f>
        <v>6.9534288705229604E-4</v>
      </c>
      <c r="P15" s="14">
        <f>-$N$4*2*PI()*((E15+D15)/2) *(($D$8-$C$8)/LN(E15/D15))*1/((D15+E15)/2)</f>
        <v>927249.96918698179</v>
      </c>
    </row>
    <row r="16" spans="1:16" x14ac:dyDescent="0.2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1"/>
      <c r="M16" s="31"/>
      <c r="N16" s="31"/>
      <c r="O16" s="31"/>
      <c r="P16" s="31"/>
    </row>
    <row r="17" spans="1:18" x14ac:dyDescent="0.25">
      <c r="A17" s="1"/>
      <c r="B17" t="s">
        <v>31</v>
      </c>
      <c r="C17" s="9">
        <v>250</v>
      </c>
      <c r="D17" s="9">
        <f t="shared" si="0"/>
        <v>0.125</v>
      </c>
      <c r="E17" s="9">
        <f t="shared" si="1"/>
        <v>0.128</v>
      </c>
      <c r="F17">
        <v>145</v>
      </c>
      <c r="G17" s="11">
        <f>(PI()*((C17)*(10^(-3)))^2)/4</f>
        <v>4.9087385212340517E-2</v>
      </c>
      <c r="H17">
        <f>2*PI()*((C17*10^(-3))/2)*F17</f>
        <v>113.88273369263</v>
      </c>
      <c r="I17" s="11">
        <f>G17*$B$8*3600</f>
        <v>3534.2917352885174</v>
      </c>
      <c r="J17">
        <f t="shared" si="2"/>
        <v>0.98174770424681035</v>
      </c>
      <c r="K17" s="1">
        <f t="shared" si="3"/>
        <v>1.0680974299551687</v>
      </c>
      <c r="L17">
        <f t="shared" si="4"/>
        <v>5.2063481987811846E-7</v>
      </c>
      <c r="M17">
        <f t="shared" si="5"/>
        <v>3.2522082879569931E-4</v>
      </c>
      <c r="N17">
        <f t="shared" ref="N17:N28" si="7">1/($K$5*H17)</f>
        <v>5.8539749183225871E-4</v>
      </c>
      <c r="O17">
        <f t="shared" si="6"/>
        <v>9.1113895544783622E-4</v>
      </c>
      <c r="P17">
        <f>-$N$4*2*PI()*((E17+D17)/2) *(($D$8-$C$8)/LN(E17/D17))*1/((D17+E17)/2)</f>
        <v>927249.96918698179</v>
      </c>
    </row>
    <row r="18" spans="1:18" x14ac:dyDescent="0.25">
      <c r="A18" s="1"/>
      <c r="B18" s="12" t="s">
        <v>32</v>
      </c>
      <c r="C18" s="9">
        <v>250</v>
      </c>
      <c r="D18" s="9">
        <f t="shared" si="0"/>
        <v>0.125</v>
      </c>
      <c r="E18" s="9">
        <f t="shared" si="1"/>
        <v>0.128</v>
      </c>
      <c r="F18" s="10">
        <v>172</v>
      </c>
      <c r="G18" s="10">
        <f>(PI()*((C18)*(10^(-3)))^2)/4</f>
        <v>4.9087385212340517E-2</v>
      </c>
      <c r="H18" s="10">
        <f>2*PI()*((C18*10^(-3))/2)*F18</f>
        <v>135.0884841043611</v>
      </c>
      <c r="I18" s="10">
        <f>G18*$B$8*3600</f>
        <v>3534.2917352885174</v>
      </c>
      <c r="J18" s="10">
        <f t="shared" si="2"/>
        <v>0.98174770424681035</v>
      </c>
      <c r="K18" s="10">
        <f t="shared" si="3"/>
        <v>1.0680974299551687</v>
      </c>
      <c r="L18" s="14">
        <f t="shared" si="4"/>
        <v>4.389072609437627E-7</v>
      </c>
      <c r="M18" s="14">
        <f t="shared" si="5"/>
        <v>2.7416872194986277E-4</v>
      </c>
      <c r="N18" s="14">
        <f t="shared" si="7"/>
        <v>4.9350369950975303E-4</v>
      </c>
      <c r="O18" s="14">
        <f t="shared" si="6"/>
        <v>7.6811132872055959E-4</v>
      </c>
      <c r="P18" s="14">
        <f>-$N$4*2*PI()*((E18+D18)/2) *(($D$8-$C$8)/LN(E18/D18))*1/((D18+E18)/2)</f>
        <v>927249.96918698179</v>
      </c>
    </row>
    <row r="19" spans="1:18" x14ac:dyDescent="0.2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1"/>
      <c r="M19" s="31"/>
      <c r="N19" s="31"/>
      <c r="O19" s="31"/>
      <c r="P19" s="31"/>
    </row>
    <row r="20" spans="1:18" x14ac:dyDescent="0.25">
      <c r="A20" s="1"/>
      <c r="B20" t="s">
        <v>33</v>
      </c>
      <c r="C20" s="9">
        <v>250</v>
      </c>
      <c r="D20" s="9">
        <f t="shared" si="0"/>
        <v>0.125</v>
      </c>
      <c r="E20" s="9">
        <f t="shared" si="1"/>
        <v>0.128</v>
      </c>
      <c r="F20">
        <v>120</v>
      </c>
      <c r="G20" s="11">
        <f>(PI()*((C20)*(10^(-3)))^2)/4</f>
        <v>4.9087385212340517E-2</v>
      </c>
      <c r="H20">
        <f>2*PI()*((C20*10^(-3))/2)*F20</f>
        <v>94.247779607693786</v>
      </c>
      <c r="I20" s="11">
        <f>G20*$B$8*3600</f>
        <v>3534.2917352885174</v>
      </c>
      <c r="J20">
        <f t="shared" si="2"/>
        <v>0.98174770424681035</v>
      </c>
      <c r="K20" s="1">
        <f t="shared" si="3"/>
        <v>1.0680974299551687</v>
      </c>
      <c r="L20">
        <f t="shared" si="4"/>
        <v>6.2910040735272658E-7</v>
      </c>
      <c r="M20">
        <f t="shared" si="5"/>
        <v>3.9297516812813668E-4</v>
      </c>
      <c r="N20">
        <f t="shared" si="7"/>
        <v>7.0735530263064603E-4</v>
      </c>
      <c r="O20">
        <f t="shared" si="6"/>
        <v>1.1009595711661355E-3</v>
      </c>
      <c r="P20">
        <f>-$N$4*2*PI()*((E20+D20)/2) *(($D$8-$C$8)/LN(E20/D20))*1/((D20+E20)/2)</f>
        <v>927249.96918698179</v>
      </c>
    </row>
    <row r="21" spans="1:18" x14ac:dyDescent="0.25">
      <c r="A21" s="1"/>
      <c r="B21" s="12" t="s">
        <v>34</v>
      </c>
      <c r="C21" s="9">
        <v>250</v>
      </c>
      <c r="D21" s="9">
        <f t="shared" si="0"/>
        <v>0.125</v>
      </c>
      <c r="E21" s="9">
        <f t="shared" si="1"/>
        <v>0.128</v>
      </c>
      <c r="F21" s="10">
        <v>140</v>
      </c>
      <c r="G21" s="10">
        <f>(PI()*((C21)*(10^(-3)))^2)/4</f>
        <v>4.9087385212340517E-2</v>
      </c>
      <c r="H21" s="10">
        <f>2*PI()*((C21*10^(-3))/2)*F21</f>
        <v>109.95574287564276</v>
      </c>
      <c r="I21" s="10">
        <f>G21*$B$8*3600</f>
        <v>3534.2917352885174</v>
      </c>
      <c r="J21" s="10">
        <f t="shared" si="2"/>
        <v>0.98174770424681035</v>
      </c>
      <c r="K21" s="10">
        <f t="shared" si="3"/>
        <v>1.0680974299551687</v>
      </c>
      <c r="L21" s="14">
        <f t="shared" si="4"/>
        <v>5.3922892058805129E-7</v>
      </c>
      <c r="M21" s="14">
        <f t="shared" si="5"/>
        <v>3.3683585839554573E-4</v>
      </c>
      <c r="N21" s="14">
        <f t="shared" si="7"/>
        <v>6.0630454511198225E-4</v>
      </c>
      <c r="O21" s="14">
        <f t="shared" si="6"/>
        <v>9.4367963242811596E-4</v>
      </c>
      <c r="P21" s="14">
        <f>-$N$4*2*PI()*((E21+D21)/2) *(($D$8-$C$8)/LN(E21/D21))*1/((D21+E21)/2)</f>
        <v>927249.96918698179</v>
      </c>
    </row>
    <row r="22" spans="1:18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1"/>
      <c r="M22" s="31"/>
      <c r="N22" s="31"/>
      <c r="O22" s="31"/>
      <c r="P22" s="31"/>
    </row>
    <row r="23" spans="1:18" x14ac:dyDescent="0.25">
      <c r="A23" s="1"/>
      <c r="B23" t="s">
        <v>35</v>
      </c>
      <c r="C23" s="9">
        <v>350</v>
      </c>
      <c r="D23" s="9">
        <f t="shared" si="0"/>
        <v>0.17500000000000002</v>
      </c>
      <c r="E23" s="9">
        <f t="shared" si="1"/>
        <v>0.17799999999999999</v>
      </c>
      <c r="F23">
        <v>184</v>
      </c>
      <c r="G23" s="1">
        <f>(PI()*((C23)*(10^(-3)))^2)/4</f>
        <v>9.6211275016187439E-2</v>
      </c>
      <c r="H23">
        <f>2*PI()*((C23*10^(-3))/2)*F23</f>
        <v>202.31856689118268</v>
      </c>
      <c r="I23" s="1">
        <f>G23*$B$8*3600</f>
        <v>6927.2118011654957</v>
      </c>
      <c r="J23">
        <f t="shared" si="2"/>
        <v>1.9242255003237487</v>
      </c>
      <c r="K23" s="1">
        <f t="shared" si="3"/>
        <v>2.0934709627121313</v>
      </c>
      <c r="L23">
        <f t="shared" si="4"/>
        <v>2.9404872822174344E-7</v>
      </c>
      <c r="M23">
        <f t="shared" si="5"/>
        <v>1.830629665193183E-4</v>
      </c>
      <c r="N23">
        <f t="shared" si="7"/>
        <v>3.2951333973477295E-4</v>
      </c>
      <c r="O23">
        <f t="shared" si="6"/>
        <v>5.1287035498231298E-4</v>
      </c>
      <c r="P23">
        <f>-$N$4*2*PI()*((E23+D23)/2) *(($D$8-$C$8)/LN(E23/D23))*1/((D23+E23)/2)</f>
        <v>1293781.4249677968</v>
      </c>
    </row>
    <row r="24" spans="1:18" x14ac:dyDescent="0.25">
      <c r="A24" s="1"/>
      <c r="B24" s="10" t="s">
        <v>36</v>
      </c>
      <c r="C24" s="9">
        <v>250</v>
      </c>
      <c r="D24" s="9">
        <f t="shared" si="0"/>
        <v>0.125</v>
      </c>
      <c r="E24" s="9">
        <f t="shared" si="1"/>
        <v>0.128</v>
      </c>
      <c r="F24" s="10">
        <v>191</v>
      </c>
      <c r="G24" s="10">
        <f>(PI()*((C24)*(10^(-3)))^2)/4</f>
        <v>4.9087385212340517E-2</v>
      </c>
      <c r="H24" s="10">
        <f>2*PI()*((C24*10^(-3))/2)*F24</f>
        <v>150.01104920891262</v>
      </c>
      <c r="I24" s="10">
        <f>G24*$B$8*3600</f>
        <v>3534.2917352885174</v>
      </c>
      <c r="J24" s="10">
        <f t="shared" si="2"/>
        <v>0.98174770424681035</v>
      </c>
      <c r="K24" s="10">
        <f t="shared" si="3"/>
        <v>1.0680974299551687</v>
      </c>
      <c r="L24" s="14">
        <f t="shared" si="4"/>
        <v>3.9524632922684391E-7</v>
      </c>
      <c r="M24" s="14">
        <f t="shared" si="5"/>
        <v>2.468953935883581E-4</v>
      </c>
      <c r="N24" s="14">
        <f t="shared" si="7"/>
        <v>4.4441170845904455E-4</v>
      </c>
      <c r="O24" s="14">
        <f t="shared" si="6"/>
        <v>6.917023483766295E-4</v>
      </c>
      <c r="P24" s="14">
        <f>-$N$4*2*PI()*((E24+D24)/2) *(($D$8-$C$8)/LN(E24/D24))*1/((D24+E24)/2)</f>
        <v>927249.96918698179</v>
      </c>
    </row>
    <row r="25" spans="1:18" x14ac:dyDescent="0.2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1"/>
      <c r="M25" s="31"/>
      <c r="N25" s="31"/>
      <c r="O25" s="31"/>
      <c r="P25" s="31"/>
    </row>
    <row r="26" spans="1:18" x14ac:dyDescent="0.25">
      <c r="A26" s="1"/>
      <c r="B26" t="s">
        <v>37</v>
      </c>
      <c r="C26" s="9">
        <v>350</v>
      </c>
      <c r="D26" s="9">
        <f t="shared" si="0"/>
        <v>0.17500000000000002</v>
      </c>
      <c r="E26" s="9">
        <f t="shared" si="1"/>
        <v>0.17799999999999999</v>
      </c>
      <c r="F26">
        <v>140</v>
      </c>
      <c r="G26" s="1">
        <f>(PI()*((C26)*(10^(-3)))^2)/4</f>
        <v>9.6211275016187439E-2</v>
      </c>
      <c r="H26">
        <f>2*PI()*((C26*10^(-3))/2)*F26</f>
        <v>153.93804002589985</v>
      </c>
      <c r="I26" s="1">
        <f>G26*$B$8*3600</f>
        <v>6927.2118011654957</v>
      </c>
      <c r="J26">
        <f t="shared" si="2"/>
        <v>1.9242255003237487</v>
      </c>
      <c r="K26" s="1">
        <f t="shared" si="3"/>
        <v>2.0934709627121313</v>
      </c>
      <c r="L26">
        <f t="shared" si="4"/>
        <v>3.8646404280571995E-7</v>
      </c>
      <c r="M26">
        <f t="shared" si="5"/>
        <v>2.4059704171110408E-4</v>
      </c>
      <c r="N26">
        <f t="shared" si="7"/>
        <v>4.3307467507998733E-4</v>
      </c>
      <c r="O26">
        <f t="shared" si="6"/>
        <v>6.7405818083389707E-4</v>
      </c>
      <c r="P26">
        <f>-$N$4*2*PI()*((E26+D26)/2) *(($D$8-$C$8)/LN(E26/D26))*1/((D26+E26)/2)</f>
        <v>1293781.4249677968</v>
      </c>
    </row>
    <row r="27" spans="1:18" x14ac:dyDescent="0.25">
      <c r="A27" s="1"/>
      <c r="B27" s="10" t="s">
        <v>38</v>
      </c>
      <c r="C27" s="9">
        <v>400</v>
      </c>
      <c r="D27" s="9">
        <f t="shared" si="0"/>
        <v>0.2</v>
      </c>
      <c r="E27" s="9">
        <f t="shared" si="1"/>
        <v>0.20300000000000001</v>
      </c>
      <c r="F27" s="10">
        <v>125</v>
      </c>
      <c r="G27" s="10">
        <f>(PI()*((C27)*(10^(-3)))^2)/4</f>
        <v>0.12566370614359174</v>
      </c>
      <c r="H27" s="10">
        <f>2*PI()*((C27*10^(-3))/2)*F27</f>
        <v>157.07963267948966</v>
      </c>
      <c r="I27" s="10">
        <f>G27*$B$8*3600</f>
        <v>9047.7868423386044</v>
      </c>
      <c r="J27" s="10">
        <f t="shared" si="2"/>
        <v>2.5132741228718345</v>
      </c>
      <c r="K27" s="10">
        <f t="shared" si="3"/>
        <v>2.7343294206852327</v>
      </c>
      <c r="L27" s="14">
        <f t="shared" si="4"/>
        <v>3.7913540386562431E-7</v>
      </c>
      <c r="M27" s="14">
        <f t="shared" si="5"/>
        <v>2.3578510087688195E-4</v>
      </c>
      <c r="N27" s="14">
        <f t="shared" si="7"/>
        <v>4.2441318157838758E-4</v>
      </c>
      <c r="O27" s="14">
        <f t="shared" si="6"/>
        <v>6.6057741785913518E-4</v>
      </c>
      <c r="P27" s="14">
        <f>-$N$4*2*PI()*((E27+D27)/2) *(($D$8-$C$8)/LN(E27/D27))*1/((D27+E27)/2)</f>
        <v>1477044.8612561619</v>
      </c>
    </row>
    <row r="28" spans="1:18" x14ac:dyDescent="0.25">
      <c r="A28" s="1"/>
      <c r="B28" t="s">
        <v>39</v>
      </c>
      <c r="C28" s="9">
        <v>350</v>
      </c>
      <c r="D28" s="9">
        <f t="shared" si="0"/>
        <v>0.17500000000000002</v>
      </c>
      <c r="E28" s="9">
        <f t="shared" si="1"/>
        <v>0.17799999999999999</v>
      </c>
      <c r="F28">
        <v>120</v>
      </c>
      <c r="G28" s="1">
        <f>(PI()*((C28)*(10^(-3)))^2)/4</f>
        <v>9.6211275016187439E-2</v>
      </c>
      <c r="H28">
        <f>2*PI()*((C28*10^(-3))/2)*F28</f>
        <v>131.94689145077132</v>
      </c>
      <c r="I28" s="1">
        <f>G28*$B$8*3600</f>
        <v>6927.2118011654957</v>
      </c>
      <c r="J28">
        <f t="shared" si="2"/>
        <v>1.9242255003237487</v>
      </c>
      <c r="K28" s="1">
        <f t="shared" si="3"/>
        <v>2.0934709627121313</v>
      </c>
      <c r="L28">
        <f t="shared" si="4"/>
        <v>4.5087471660667334E-7</v>
      </c>
      <c r="M28">
        <f t="shared" si="5"/>
        <v>2.8069654866295473E-4</v>
      </c>
      <c r="N28">
        <f t="shared" si="7"/>
        <v>5.0525378759331847E-4</v>
      </c>
      <c r="O28">
        <f t="shared" si="6"/>
        <v>7.8640121097287995E-4</v>
      </c>
      <c r="P28">
        <f>-$N$4*2*PI()*((E28+D28)/2) *(($D$8-$C$8)/LN(E28/D28))*1/((D28+E28)/2)</f>
        <v>1293781.4249677968</v>
      </c>
    </row>
    <row r="29" spans="1:18" x14ac:dyDescent="0.2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1"/>
      <c r="M29" s="31"/>
      <c r="N29" s="31"/>
      <c r="O29" s="31"/>
      <c r="P29" s="31"/>
    </row>
    <row r="30" spans="1:18" x14ac:dyDescent="0.25">
      <c r="A30" s="1"/>
      <c r="C30" s="1"/>
      <c r="D30" s="1"/>
      <c r="E30" s="1"/>
      <c r="K30" s="1"/>
    </row>
    <row r="31" spans="1:18" x14ac:dyDescent="0.25">
      <c r="A31" s="1"/>
      <c r="B31" s="3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32"/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2">
    <mergeCell ref="A2:B2"/>
    <mergeCell ref="C2:E2"/>
  </mergeCell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données!$D$6:$D$9</xm:f>
          </x14:formula1>
          <xm:sqref>B8</xm:sqref>
        </x14:dataValidation>
        <x14:dataValidation type="list" allowBlank="1" showInputMessage="1" showErrorMessage="1">
          <x14:formula1>
            <xm:f>données!$G$6:$G$15</xm:f>
          </x14:formula1>
          <xm:sqref>C8</xm:sqref>
        </x14:dataValidation>
        <x14:dataValidation type="list" allowBlank="1" showInputMessage="1" showErrorMessage="1">
          <x14:formula1>
            <xm:f>données!$C$6:$C$12</xm:f>
          </x14:formula1>
          <xm:sqref>D8</xm:sqref>
        </x14:dataValidation>
        <x14:dataValidation type="list" allowBlank="1" showInputMessage="1" showErrorMessage="1">
          <x14:formula1>
            <xm:f>données!$B$6:$B$10</xm:f>
          </x14:formula1>
          <xm:sqref>C14:C30 C32:C47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D1" workbookViewId="0">
      <selection activeCell="K14" sqref="K14"/>
    </sheetView>
  </sheetViews>
  <sheetFormatPr baseColWidth="10" defaultRowHeight="15" x14ac:dyDescent="0.25"/>
  <cols>
    <col min="2" max="2" width="24" customWidth="1"/>
    <col min="3" max="3" width="22.140625" customWidth="1"/>
    <col min="4" max="4" width="29" customWidth="1"/>
    <col min="5" max="5" width="27.5703125" customWidth="1"/>
    <col min="6" max="6" width="40.28515625" customWidth="1"/>
    <col min="7" max="7" width="23.5703125" customWidth="1"/>
    <col min="8" max="8" width="31.140625" customWidth="1"/>
    <col min="9" max="9" width="25.85546875" customWidth="1"/>
    <col min="10" max="10" width="22.5703125" customWidth="1"/>
    <col min="11" max="11" width="24.7109375" customWidth="1"/>
  </cols>
  <sheetData>
    <row r="2" spans="1:14" ht="15.75" x14ac:dyDescent="0.25">
      <c r="A2" s="33" t="s">
        <v>0</v>
      </c>
      <c r="B2" s="33"/>
      <c r="C2" s="34" t="s">
        <v>71</v>
      </c>
      <c r="D2" s="34"/>
      <c r="E2" s="34"/>
    </row>
    <row r="3" spans="1:14" x14ac:dyDescent="0.25">
      <c r="B3" s="2"/>
      <c r="C3" s="2"/>
      <c r="D3" s="2"/>
    </row>
    <row r="4" spans="1:14" ht="15.75" x14ac:dyDescent="0.25">
      <c r="A4" s="6" t="s">
        <v>4</v>
      </c>
      <c r="B4" s="2"/>
      <c r="C4" s="2" t="s">
        <v>5</v>
      </c>
      <c r="D4" s="2" t="s">
        <v>6</v>
      </c>
      <c r="E4" s="2" t="s">
        <v>7</v>
      </c>
    </row>
    <row r="7" spans="1:14" x14ac:dyDescent="0.25">
      <c r="B7" s="3" t="s">
        <v>13</v>
      </c>
      <c r="C7" s="3" t="s">
        <v>72</v>
      </c>
      <c r="D7" s="3" t="s">
        <v>73</v>
      </c>
      <c r="E7" s="3" t="s">
        <v>74</v>
      </c>
      <c r="F7" s="3" t="s">
        <v>16</v>
      </c>
      <c r="G7" s="3" t="s">
        <v>75</v>
      </c>
      <c r="H7" s="3" t="s">
        <v>80</v>
      </c>
      <c r="I7" s="3" t="s">
        <v>79</v>
      </c>
      <c r="J7" s="3" t="s">
        <v>81</v>
      </c>
      <c r="K7" s="1"/>
    </row>
    <row r="8" spans="1:14" x14ac:dyDescent="0.25">
      <c r="B8">
        <f>[2]FD1!B7</f>
        <v>20</v>
      </c>
      <c r="C8">
        <v>20</v>
      </c>
      <c r="D8">
        <f>IF(C8=20,[2]ressource!I6,IF(C8=50,[2]ressource!I7,IF(C8=100,[2]ressource!I8,IF(C8=150,[2]ressource!I9,IF(C8=200,[2]ressource!I10,IF(C8=250,[2]ressource!I11,IF(C8=300,[2]ressource!I12,IF(C8=350,[2]ressource!I13,IF(C8=400,[2]ressource!I14,IF(C8=450,[2]ressource!I15,FALSE))))))))))</f>
        <v>1.8154951198193598E-5</v>
      </c>
      <c r="E8">
        <v>157000</v>
      </c>
      <c r="F8">
        <f>IF(C8=20,données!I6,IF(C8=50,données!I7,IF(C8=100,données!I8,IF(C8=150,données!I9,IF(C8=200,données!I10,IF(C8=250,données!I11,IF(C8=300,données!I12,IF(C8='[1]350données'!I13,IF(C8=400,données!I14,IF(C8=450,données!I15,FALSE))))))))))</f>
        <v>1.1993498293515359</v>
      </c>
      <c r="G8">
        <v>9.81</v>
      </c>
      <c r="H8">
        <v>1000</v>
      </c>
      <c r="I8">
        <v>2.6200000000000001E-2</v>
      </c>
      <c r="J8">
        <f>($D$8*$H$8)/$I$8</f>
        <v>0.69293706863334348</v>
      </c>
    </row>
    <row r="12" spans="1:14" x14ac:dyDescent="0.25">
      <c r="B12" s="8"/>
    </row>
    <row r="13" spans="1:14" x14ac:dyDescent="0.25">
      <c r="B13" s="8" t="s">
        <v>20</v>
      </c>
      <c r="C13" s="9" t="s">
        <v>21</v>
      </c>
      <c r="D13" s="10" t="s">
        <v>22</v>
      </c>
      <c r="E13" s="10" t="s">
        <v>76</v>
      </c>
      <c r="F13" s="3" t="s">
        <v>23</v>
      </c>
      <c r="G13" s="3" t="s">
        <v>25</v>
      </c>
      <c r="H13" t="s">
        <v>77</v>
      </c>
      <c r="I13" s="1" t="s">
        <v>78</v>
      </c>
      <c r="J13" s="1" t="s">
        <v>82</v>
      </c>
      <c r="K13" s="1" t="s">
        <v>83</v>
      </c>
      <c r="L13" s="1"/>
      <c r="M13" s="1"/>
      <c r="N13" s="1"/>
    </row>
    <row r="14" spans="1:14" x14ac:dyDescent="0.25">
      <c r="B14" t="s">
        <v>29</v>
      </c>
      <c r="C14" s="9">
        <f>[2]FD1!C18</f>
        <v>250</v>
      </c>
      <c r="D14" s="11">
        <v>170</v>
      </c>
      <c r="E14" s="1">
        <f>($F$8*$B$8*(C14*10^(-3)))/$D$8</f>
        <v>330309.29586604179</v>
      </c>
      <c r="F14" s="11">
        <f>(PI()*((C14)*(10^(-3)))^2)/4</f>
        <v>4.9087385212340517E-2</v>
      </c>
      <c r="G14" s="11">
        <f>F14*$B$8*3600</f>
        <v>3534.2917352885174</v>
      </c>
      <c r="H14">
        <f>2*PI()*((C14/2)*10^(-3))</f>
        <v>0.78539816339744828</v>
      </c>
      <c r="I14" s="1">
        <f>4*F14/H14</f>
        <v>0.25</v>
      </c>
      <c r="J14" s="1">
        <f>0.023*POWER(E14,0.8)*POWER($J$8,0.33)</f>
        <v>530.02142469837236</v>
      </c>
      <c r="K14" s="1">
        <f>(J14*$I$8)/(C14*10^(-3))</f>
        <v>55.546245308389423</v>
      </c>
      <c r="L14" s="1"/>
      <c r="M14" s="1"/>
      <c r="N14" s="1"/>
    </row>
    <row r="15" spans="1:14" x14ac:dyDescent="0.25">
      <c r="B15" s="12" t="s">
        <v>30</v>
      </c>
      <c r="C15" s="9">
        <f>[2]FD1!C19</f>
        <v>250</v>
      </c>
      <c r="D15" s="10">
        <v>190</v>
      </c>
      <c r="E15" s="1">
        <f t="shared" ref="E15:E28" si="0">($F$8*$B$8*(C15*10^(-3)))/$D$8</f>
        <v>330309.29586604179</v>
      </c>
      <c r="F15" s="10">
        <f>(PI()*((C15)*(10^(-3)))^2)/4</f>
        <v>4.9087385212340517E-2</v>
      </c>
      <c r="G15" s="10">
        <f t="shared" ref="G15:G21" si="1">F15*$B$8*3600</f>
        <v>3534.2917352885174</v>
      </c>
      <c r="H15">
        <f t="shared" ref="H15:H28" si="2">2*PI()*((C15/2)*10^(-3))</f>
        <v>0.78539816339744828</v>
      </c>
      <c r="I15" s="1">
        <f t="shared" ref="I15:I28" si="3">4*F15/H15</f>
        <v>0.25</v>
      </c>
      <c r="J15" s="1">
        <f t="shared" ref="J15:J28" si="4">0.023*POWER(E15,0.8)*POWER($J$8,0.33)</f>
        <v>530.02142469837236</v>
      </c>
      <c r="K15" s="1">
        <f t="shared" ref="K15:K28" si="5">(J15*$I$8)/(C15*10^(-3))</f>
        <v>55.546245308389423</v>
      </c>
      <c r="L15" s="1"/>
      <c r="M15" s="1"/>
      <c r="N15" s="1"/>
    </row>
    <row r="16" spans="1:14" x14ac:dyDescent="0.25">
      <c r="B16" s="13"/>
      <c r="C16" s="13"/>
      <c r="D16" s="13"/>
      <c r="E16" s="1">
        <f t="shared" si="0"/>
        <v>0</v>
      </c>
      <c r="F16" s="13"/>
      <c r="G16" s="13"/>
      <c r="I16" s="1"/>
      <c r="J16" s="1"/>
      <c r="K16" s="1"/>
      <c r="L16" s="1"/>
      <c r="M16" s="1"/>
      <c r="N16" s="1"/>
    </row>
    <row r="17" spans="2:14" x14ac:dyDescent="0.25">
      <c r="B17" t="s">
        <v>31</v>
      </c>
      <c r="C17" s="9">
        <f>[2]FD1!C21</f>
        <v>250</v>
      </c>
      <c r="D17">
        <v>145</v>
      </c>
      <c r="E17" s="1">
        <f t="shared" si="0"/>
        <v>330309.29586604179</v>
      </c>
      <c r="F17" s="11">
        <f>(PI()*((C17)*(10^(-3)))^2)/4</f>
        <v>4.9087385212340517E-2</v>
      </c>
      <c r="G17" s="11">
        <f t="shared" si="1"/>
        <v>3534.2917352885174</v>
      </c>
      <c r="H17">
        <f t="shared" si="2"/>
        <v>0.78539816339744828</v>
      </c>
      <c r="I17" s="1">
        <f t="shared" si="3"/>
        <v>0.25</v>
      </c>
      <c r="J17" s="1">
        <f t="shared" si="4"/>
        <v>530.02142469837236</v>
      </c>
      <c r="K17" s="1">
        <f t="shared" si="5"/>
        <v>55.546245308389423</v>
      </c>
      <c r="L17" s="1"/>
      <c r="M17" s="1"/>
      <c r="N17" s="1"/>
    </row>
    <row r="18" spans="2:14" x14ac:dyDescent="0.25">
      <c r="B18" s="12" t="s">
        <v>32</v>
      </c>
      <c r="C18" s="9">
        <f>[2]FD1!C22</f>
        <v>250</v>
      </c>
      <c r="D18" s="10">
        <v>172</v>
      </c>
      <c r="E18" s="1">
        <f t="shared" si="0"/>
        <v>330309.29586604179</v>
      </c>
      <c r="F18" s="10">
        <f>(PI()*((C18)*(10^(-3)))^2)/4</f>
        <v>4.9087385212340517E-2</v>
      </c>
      <c r="G18" s="10">
        <f t="shared" si="1"/>
        <v>3534.2917352885174</v>
      </c>
      <c r="H18">
        <f t="shared" si="2"/>
        <v>0.78539816339744828</v>
      </c>
      <c r="I18" s="1">
        <f t="shared" si="3"/>
        <v>0.25</v>
      </c>
      <c r="J18" s="1">
        <f t="shared" si="4"/>
        <v>530.02142469837236</v>
      </c>
      <c r="K18" s="1">
        <f t="shared" si="5"/>
        <v>55.546245308389423</v>
      </c>
      <c r="L18" s="1"/>
      <c r="M18" s="1"/>
      <c r="N18" s="1"/>
    </row>
    <row r="19" spans="2:14" x14ac:dyDescent="0.25">
      <c r="B19" s="13"/>
      <c r="C19" s="13"/>
      <c r="D19" s="13"/>
      <c r="E19" s="1">
        <f t="shared" si="0"/>
        <v>0</v>
      </c>
      <c r="F19" s="13"/>
      <c r="G19" s="13"/>
      <c r="I19" s="1"/>
      <c r="J19" s="1"/>
      <c r="K19" s="1"/>
      <c r="L19" s="1"/>
      <c r="M19" s="1"/>
      <c r="N19" s="1"/>
    </row>
    <row r="20" spans="2:14" x14ac:dyDescent="0.25">
      <c r="B20" t="s">
        <v>33</v>
      </c>
      <c r="C20" s="9">
        <f>[2]FD1!C24</f>
        <v>250</v>
      </c>
      <c r="D20">
        <v>120</v>
      </c>
      <c r="E20" s="1">
        <f t="shared" si="0"/>
        <v>330309.29586604179</v>
      </c>
      <c r="F20" s="11">
        <f>(PI()*((C20)*(10^(-3)))^2)/4</f>
        <v>4.9087385212340517E-2</v>
      </c>
      <c r="G20" s="11">
        <f t="shared" si="1"/>
        <v>3534.2917352885174</v>
      </c>
      <c r="H20">
        <f t="shared" si="2"/>
        <v>0.78539816339744828</v>
      </c>
      <c r="I20" s="1">
        <f t="shared" si="3"/>
        <v>0.25</v>
      </c>
      <c r="J20" s="1">
        <f t="shared" si="4"/>
        <v>530.02142469837236</v>
      </c>
      <c r="K20" s="1">
        <f t="shared" si="5"/>
        <v>55.546245308389423</v>
      </c>
      <c r="L20" s="1"/>
      <c r="M20" s="1"/>
      <c r="N20" s="1"/>
    </row>
    <row r="21" spans="2:14" x14ac:dyDescent="0.25">
      <c r="B21" s="12" t="s">
        <v>34</v>
      </c>
      <c r="C21" s="9">
        <f>[2]FD1!C25</f>
        <v>250</v>
      </c>
      <c r="D21" s="10">
        <v>140</v>
      </c>
      <c r="E21" s="1">
        <f t="shared" si="0"/>
        <v>330309.29586604179</v>
      </c>
      <c r="F21" s="10">
        <f>(PI()*((C21)*(10^(-3)))^2)/4</f>
        <v>4.9087385212340517E-2</v>
      </c>
      <c r="G21" s="10">
        <f t="shared" si="1"/>
        <v>3534.2917352885174</v>
      </c>
      <c r="H21">
        <f t="shared" si="2"/>
        <v>0.78539816339744828</v>
      </c>
      <c r="I21" s="1">
        <f t="shared" si="3"/>
        <v>0.25</v>
      </c>
      <c r="J21" s="1">
        <f t="shared" si="4"/>
        <v>530.02142469837236</v>
      </c>
      <c r="K21" s="1">
        <f t="shared" si="5"/>
        <v>55.546245308389423</v>
      </c>
      <c r="L21" s="1"/>
      <c r="M21" s="1"/>
      <c r="N21" s="1"/>
    </row>
    <row r="22" spans="2:14" x14ac:dyDescent="0.25">
      <c r="B22" s="13"/>
      <c r="C22" s="13"/>
      <c r="D22" s="13"/>
      <c r="E22" s="1">
        <f t="shared" si="0"/>
        <v>0</v>
      </c>
      <c r="F22" s="13"/>
      <c r="G22" s="13"/>
      <c r="I22" s="1"/>
      <c r="J22" s="1"/>
      <c r="K22" s="1"/>
      <c r="L22" s="1"/>
      <c r="M22" s="1"/>
      <c r="N22" s="1"/>
    </row>
    <row r="23" spans="2:14" x14ac:dyDescent="0.25">
      <c r="B23" t="s">
        <v>35</v>
      </c>
      <c r="C23" s="1">
        <f>[2]FD1!C27</f>
        <v>350</v>
      </c>
      <c r="D23">
        <v>184</v>
      </c>
      <c r="E23" s="1">
        <f t="shared" si="0"/>
        <v>462433.01421245863</v>
      </c>
      <c r="F23" s="1">
        <f>(PI()*((C23)*(10^(-3)))^2)/4</f>
        <v>9.6211275016187439E-2</v>
      </c>
      <c r="G23" s="1">
        <f>F23*$B$8*3600</f>
        <v>6927.2118011654957</v>
      </c>
      <c r="H23">
        <f t="shared" si="2"/>
        <v>1.0995574287564276</v>
      </c>
      <c r="I23" s="1">
        <f t="shared" si="3"/>
        <v>0.35000000000000009</v>
      </c>
      <c r="J23" s="1">
        <f t="shared" si="4"/>
        <v>693.73859062905285</v>
      </c>
      <c r="K23" s="1">
        <f t="shared" si="5"/>
        <v>51.93128878423196</v>
      </c>
      <c r="L23" s="1"/>
      <c r="M23" s="1"/>
      <c r="N23" s="1"/>
    </row>
    <row r="24" spans="2:14" x14ac:dyDescent="0.25">
      <c r="B24" s="10" t="s">
        <v>36</v>
      </c>
      <c r="C24" s="14">
        <f>[2]FD1!C28</f>
        <v>250</v>
      </c>
      <c r="D24" s="10">
        <v>191</v>
      </c>
      <c r="E24" s="1">
        <f t="shared" si="0"/>
        <v>330309.29586604179</v>
      </c>
      <c r="F24" s="10">
        <f>(PI()*((C24)*(10^(-3)))^2)/4</f>
        <v>4.9087385212340517E-2</v>
      </c>
      <c r="G24" s="10">
        <f t="shared" ref="G24:G28" si="6">F24*$B$8*3600</f>
        <v>3534.2917352885174</v>
      </c>
      <c r="H24">
        <f t="shared" si="2"/>
        <v>0.78539816339744828</v>
      </c>
      <c r="I24" s="1">
        <f t="shared" si="3"/>
        <v>0.25</v>
      </c>
      <c r="J24" s="1">
        <f t="shared" si="4"/>
        <v>530.02142469837236</v>
      </c>
      <c r="K24" s="1">
        <f t="shared" si="5"/>
        <v>55.546245308389423</v>
      </c>
      <c r="L24" s="1"/>
      <c r="M24" s="1"/>
      <c r="N24" s="1"/>
    </row>
    <row r="25" spans="2:14" x14ac:dyDescent="0.25">
      <c r="B25" s="13"/>
      <c r="C25" s="13"/>
      <c r="D25" s="13"/>
      <c r="E25" s="1">
        <f t="shared" si="0"/>
        <v>0</v>
      </c>
      <c r="F25" s="13"/>
      <c r="G25" s="13"/>
      <c r="I25" s="1"/>
      <c r="J25" s="1"/>
      <c r="K25" s="1"/>
      <c r="L25" s="1"/>
      <c r="M25" s="1"/>
      <c r="N25" s="1"/>
    </row>
    <row r="26" spans="2:14" x14ac:dyDescent="0.25">
      <c r="B26" t="s">
        <v>37</v>
      </c>
      <c r="C26" s="1">
        <f>[2]FD1!C30</f>
        <v>350</v>
      </c>
      <c r="D26">
        <v>140</v>
      </c>
      <c r="E26" s="1">
        <f t="shared" si="0"/>
        <v>462433.01421245863</v>
      </c>
      <c r="F26" s="1">
        <f>(PI()*((C26)*(10^(-3)))^2)/4</f>
        <v>9.6211275016187439E-2</v>
      </c>
      <c r="G26" s="1">
        <f t="shared" si="6"/>
        <v>6927.2118011654957</v>
      </c>
      <c r="H26">
        <f t="shared" si="2"/>
        <v>1.0995574287564276</v>
      </c>
      <c r="I26" s="1">
        <f t="shared" si="3"/>
        <v>0.35000000000000009</v>
      </c>
      <c r="J26" s="1">
        <f t="shared" si="4"/>
        <v>693.73859062905285</v>
      </c>
      <c r="K26" s="1">
        <f t="shared" si="5"/>
        <v>51.93128878423196</v>
      </c>
      <c r="L26" s="1"/>
      <c r="M26" s="1"/>
      <c r="N26" s="1"/>
    </row>
    <row r="27" spans="2:14" x14ac:dyDescent="0.25">
      <c r="B27" s="10" t="s">
        <v>38</v>
      </c>
      <c r="C27" s="14">
        <f>[2]FD1!C31</f>
        <v>400</v>
      </c>
      <c r="D27" s="10">
        <v>125</v>
      </c>
      <c r="E27" s="1">
        <f t="shared" si="0"/>
        <v>528494.87338566687</v>
      </c>
      <c r="F27" s="10">
        <f>(PI()*((C27)*(10^(-3)))^2)/4</f>
        <v>0.12566370614359174</v>
      </c>
      <c r="G27" s="10">
        <f t="shared" si="6"/>
        <v>9047.7868423386044</v>
      </c>
      <c r="H27">
        <f t="shared" si="2"/>
        <v>1.2566370614359172</v>
      </c>
      <c r="I27" s="1">
        <f t="shared" si="3"/>
        <v>0.4</v>
      </c>
      <c r="J27" s="1">
        <f t="shared" si="4"/>
        <v>771.95042611419126</v>
      </c>
      <c r="K27" s="1">
        <f t="shared" si="5"/>
        <v>50.562752910479531</v>
      </c>
      <c r="L27" s="1"/>
      <c r="M27" s="1"/>
      <c r="N27" s="1"/>
    </row>
    <row r="28" spans="2:14" x14ac:dyDescent="0.25">
      <c r="B28" t="s">
        <v>39</v>
      </c>
      <c r="C28" s="1">
        <f>[2]FD1!C32</f>
        <v>350</v>
      </c>
      <c r="D28">
        <v>120</v>
      </c>
      <c r="E28" s="1">
        <f t="shared" si="0"/>
        <v>462433.01421245863</v>
      </c>
      <c r="F28" s="1">
        <f>(PI()*((C28)*(10^(-3)))^2)/4</f>
        <v>9.6211275016187439E-2</v>
      </c>
      <c r="G28" s="1">
        <f t="shared" si="6"/>
        <v>6927.2118011654957</v>
      </c>
      <c r="H28">
        <f t="shared" si="2"/>
        <v>1.0995574287564276</v>
      </c>
      <c r="I28" s="1">
        <f t="shared" si="3"/>
        <v>0.35000000000000009</v>
      </c>
      <c r="J28" s="1">
        <f t="shared" si="4"/>
        <v>693.73859062905285</v>
      </c>
      <c r="K28" s="1">
        <f t="shared" si="5"/>
        <v>51.93128878423196</v>
      </c>
      <c r="L28" s="1"/>
      <c r="M28" s="1"/>
      <c r="N28" s="1"/>
    </row>
    <row r="29" spans="2:14" x14ac:dyDescent="0.25">
      <c r="B29" s="13"/>
      <c r="C29" s="13"/>
      <c r="D29" s="13"/>
      <c r="E29" s="13"/>
      <c r="F29" s="13"/>
      <c r="G29" s="13"/>
      <c r="I29" s="1"/>
      <c r="J29" s="1"/>
      <c r="K29" s="1"/>
      <c r="L29" s="1"/>
      <c r="M29" s="1"/>
      <c r="N29" s="1"/>
    </row>
  </sheetData>
  <mergeCells count="2">
    <mergeCell ref="A2:B2"/>
    <mergeCell ref="C2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[alex.xlsx]ressource!#REF!</xm:f>
          </x14:formula1>
          <xm:sqref>C25</xm:sqref>
        </x14:dataValidation>
        <x14:dataValidation type="list" allowBlank="1" showInputMessage="1" showErrorMessage="1">
          <x14:formula1>
            <xm:f>données!$D$6:$D$9</xm:f>
          </x14:formula1>
          <xm:sqref>B8</xm:sqref>
        </x14:dataValidation>
        <x14:dataValidation type="list" allowBlank="1" showInputMessage="1" showErrorMessage="1">
          <x14:formula1>
            <xm:f>données!$G$6:$G$15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10" sqref="D10"/>
    </sheetView>
  </sheetViews>
  <sheetFormatPr baseColWidth="10" defaultRowHeight="15" x14ac:dyDescent="0.25"/>
  <cols>
    <col min="2" max="2" width="24" customWidth="1"/>
    <col min="3" max="3" width="22" customWidth="1"/>
    <col min="4" max="4" width="19.28515625" customWidth="1"/>
    <col min="5" max="5" width="19" customWidth="1"/>
    <col min="6" max="6" width="18.140625" customWidth="1"/>
    <col min="7" max="7" width="26.7109375" customWidth="1"/>
    <col min="8" max="8" width="20.140625" customWidth="1"/>
    <col min="9" max="9" width="25.5703125" customWidth="1"/>
    <col min="10" max="10" width="27.7109375" customWidth="1"/>
  </cols>
  <sheetData>
    <row r="3" spans="2:10" ht="15.75" thickBot="1" x14ac:dyDescent="0.3"/>
    <row r="4" spans="2:10" x14ac:dyDescent="0.25">
      <c r="B4" s="19" t="s">
        <v>40</v>
      </c>
      <c r="C4" s="20" t="s">
        <v>41</v>
      </c>
      <c r="D4" s="21" t="s">
        <v>42</v>
      </c>
      <c r="E4" s="20" t="s">
        <v>43</v>
      </c>
      <c r="F4" s="20" t="s">
        <v>44</v>
      </c>
      <c r="G4" s="20" t="s">
        <v>45</v>
      </c>
      <c r="H4" s="20" t="s">
        <v>48</v>
      </c>
      <c r="I4" s="20" t="s">
        <v>46</v>
      </c>
      <c r="J4" s="22" t="s">
        <v>47</v>
      </c>
    </row>
    <row r="5" spans="2:10" x14ac:dyDescent="0.25">
      <c r="B5" s="23" t="s">
        <v>49</v>
      </c>
      <c r="C5" s="17" t="s">
        <v>50</v>
      </c>
      <c r="D5" s="16" t="s">
        <v>51</v>
      </c>
      <c r="E5" s="15" t="s">
        <v>52</v>
      </c>
      <c r="F5" s="15" t="s">
        <v>52</v>
      </c>
      <c r="G5" s="16" t="s">
        <v>50</v>
      </c>
      <c r="H5" s="16" t="s">
        <v>55</v>
      </c>
      <c r="I5" s="18" t="s">
        <v>53</v>
      </c>
      <c r="J5" s="24" t="s">
        <v>54</v>
      </c>
    </row>
    <row r="6" spans="2:10" x14ac:dyDescent="0.25">
      <c r="B6" s="25">
        <v>250</v>
      </c>
      <c r="C6" s="15">
        <v>-20</v>
      </c>
      <c r="D6" s="15">
        <v>20</v>
      </c>
      <c r="E6" s="15">
        <v>20.28</v>
      </c>
      <c r="F6" s="15">
        <v>0.14000000000000001</v>
      </c>
      <c r="G6" s="15">
        <v>20</v>
      </c>
      <c r="H6" s="15">
        <f t="shared" ref="H6:H15" si="0">G6+273</f>
        <v>293</v>
      </c>
      <c r="I6" s="15">
        <f t="shared" ref="I6:I15" si="1">+(E6*32/100+F6*44/100+(100-E6-F6)/100*28)/22.4*273/(273+G6)</f>
        <v>1.1993498293515359</v>
      </c>
      <c r="J6" s="26">
        <f t="shared" ref="J6:J15" si="2">(8.8848)*10^(-15)*POWER(H6,3)-(3.2398)*10^(-11)*POWER(H6,2)+(6.2657)*10^(-8)*H6+2.3543*10^(-6)</f>
        <v>1.8154951198193598E-5</v>
      </c>
    </row>
    <row r="7" spans="2:10" x14ac:dyDescent="0.25">
      <c r="B7" s="25">
        <v>300</v>
      </c>
      <c r="C7" s="15">
        <v>-10</v>
      </c>
      <c r="D7" s="15">
        <v>21</v>
      </c>
      <c r="E7" s="15">
        <v>20.28</v>
      </c>
      <c r="F7" s="15">
        <v>0.14000000000000001</v>
      </c>
      <c r="G7" s="15">
        <v>50</v>
      </c>
      <c r="H7" s="15">
        <f t="shared" si="0"/>
        <v>323</v>
      </c>
      <c r="I7" s="15">
        <f t="shared" si="1"/>
        <v>1.0879551083591332</v>
      </c>
      <c r="J7" s="26">
        <f t="shared" si="2"/>
        <v>1.9511862420641601E-5</v>
      </c>
    </row>
    <row r="8" spans="2:10" x14ac:dyDescent="0.25">
      <c r="B8" s="25">
        <v>350</v>
      </c>
      <c r="C8" s="15">
        <v>0</v>
      </c>
      <c r="D8" s="15">
        <v>22</v>
      </c>
      <c r="E8" s="15">
        <v>20.28</v>
      </c>
      <c r="F8" s="15">
        <v>0.14000000000000001</v>
      </c>
      <c r="G8" s="15">
        <v>100</v>
      </c>
      <c r="H8" s="15">
        <f t="shared" si="0"/>
        <v>373</v>
      </c>
      <c r="I8" s="15">
        <f t="shared" si="1"/>
        <v>0.94211662198391433</v>
      </c>
      <c r="J8" s="26">
        <f t="shared" si="2"/>
        <v>2.1678937393521602E-5</v>
      </c>
    </row>
    <row r="9" spans="2:10" x14ac:dyDescent="0.25">
      <c r="B9" s="25">
        <v>400</v>
      </c>
      <c r="C9" s="15">
        <v>10</v>
      </c>
      <c r="D9" s="15">
        <v>23</v>
      </c>
      <c r="E9" s="15">
        <v>20.28</v>
      </c>
      <c r="F9" s="15">
        <v>0.14000000000000001</v>
      </c>
      <c r="G9" s="15">
        <v>150</v>
      </c>
      <c r="H9" s="15">
        <f t="shared" si="0"/>
        <v>423</v>
      </c>
      <c r="I9" s="15">
        <f t="shared" si="1"/>
        <v>0.8307553191489363</v>
      </c>
      <c r="J9" s="26">
        <f t="shared" si="2"/>
        <v>2.3733732822401602E-5</v>
      </c>
    </row>
    <row r="10" spans="2:10" x14ac:dyDescent="0.25">
      <c r="B10" s="25">
        <v>450</v>
      </c>
      <c r="C10" s="15">
        <v>20</v>
      </c>
      <c r="D10" s="15"/>
      <c r="E10" s="15">
        <v>20.28</v>
      </c>
      <c r="F10" s="15">
        <v>0.14000000000000001</v>
      </c>
      <c r="G10" s="15">
        <v>200</v>
      </c>
      <c r="H10" s="15">
        <f t="shared" si="0"/>
        <v>473</v>
      </c>
      <c r="I10" s="15">
        <f t="shared" si="1"/>
        <v>0.74293763213530661</v>
      </c>
      <c r="J10" s="26">
        <f t="shared" si="2"/>
        <v>2.5682912307281602E-5</v>
      </c>
    </row>
    <row r="11" spans="2:10" x14ac:dyDescent="0.25">
      <c r="B11" s="25"/>
      <c r="C11" s="15">
        <v>30</v>
      </c>
      <c r="D11" s="15"/>
      <c r="E11" s="15">
        <v>20.28</v>
      </c>
      <c r="F11" s="15">
        <v>0.14000000000000001</v>
      </c>
      <c r="G11" s="15">
        <v>250</v>
      </c>
      <c r="H11" s="15">
        <f t="shared" si="0"/>
        <v>523</v>
      </c>
      <c r="I11" s="15">
        <f t="shared" si="1"/>
        <v>0.67191108986615689</v>
      </c>
      <c r="J11" s="26">
        <f t="shared" si="2"/>
        <v>2.7533139448161604E-5</v>
      </c>
    </row>
    <row r="12" spans="2:10" x14ac:dyDescent="0.25">
      <c r="B12" s="25"/>
      <c r="C12" s="15">
        <v>40</v>
      </c>
      <c r="D12" s="15"/>
      <c r="E12" s="15">
        <v>20.28</v>
      </c>
      <c r="F12" s="15">
        <v>0.14000000000000001</v>
      </c>
      <c r="G12" s="15">
        <v>300</v>
      </c>
      <c r="H12" s="15">
        <f t="shared" si="0"/>
        <v>573</v>
      </c>
      <c r="I12" s="15">
        <f t="shared" si="1"/>
        <v>0.61328010471204197</v>
      </c>
      <c r="J12" s="26">
        <f t="shared" si="2"/>
        <v>2.9291077845041605E-5</v>
      </c>
    </row>
    <row r="13" spans="2:10" x14ac:dyDescent="0.25">
      <c r="B13" s="25"/>
      <c r="C13" s="15"/>
      <c r="D13" s="15"/>
      <c r="E13" s="15">
        <v>20.28</v>
      </c>
      <c r="F13" s="15">
        <v>0.14000000000000001</v>
      </c>
      <c r="G13" s="15">
        <v>350</v>
      </c>
      <c r="H13" s="15">
        <f t="shared" si="0"/>
        <v>623</v>
      </c>
      <c r="I13" s="15">
        <f t="shared" si="1"/>
        <v>0.56406019261637241</v>
      </c>
      <c r="J13" s="26">
        <f t="shared" si="2"/>
        <v>3.0963391097921601E-5</v>
      </c>
    </row>
    <row r="14" spans="2:10" x14ac:dyDescent="0.25">
      <c r="B14" s="25"/>
      <c r="C14" s="15"/>
      <c r="D14" s="15"/>
      <c r="E14" s="15">
        <v>20.28</v>
      </c>
      <c r="F14" s="15">
        <v>0.14000000000000001</v>
      </c>
      <c r="G14" s="15">
        <v>400</v>
      </c>
      <c r="H14" s="15">
        <f t="shared" si="0"/>
        <v>673</v>
      </c>
      <c r="I14" s="15">
        <f t="shared" si="1"/>
        <v>0.52215378900445775</v>
      </c>
      <c r="J14" s="26">
        <f t="shared" si="2"/>
        <v>3.2556742806801601E-5</v>
      </c>
    </row>
    <row r="15" spans="2:10" ht="15.75" thickBot="1" x14ac:dyDescent="0.3">
      <c r="B15" s="27"/>
      <c r="C15" s="28"/>
      <c r="D15" s="28"/>
      <c r="E15" s="28">
        <v>20.28</v>
      </c>
      <c r="F15" s="28">
        <v>0.14000000000000001</v>
      </c>
      <c r="G15" s="28">
        <v>450</v>
      </c>
      <c r="H15" s="28">
        <f t="shared" si="0"/>
        <v>723</v>
      </c>
      <c r="I15" s="28">
        <f t="shared" si="1"/>
        <v>0.48604356846473035</v>
      </c>
      <c r="J15" s="29">
        <f t="shared" si="2"/>
        <v>3.4077796571681608E-5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méthode 1</vt:lpstr>
      <vt:lpstr>méthode 2</vt:lpstr>
      <vt:lpstr>méthode 3</vt:lpstr>
      <vt:lpstr>données</vt:lpstr>
    </vt:vector>
  </TitlesOfParts>
  <Company>Constellium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Piquier, Alexandre</dc:creator>
  <cp:lastModifiedBy>Piquier, Alexandre</cp:lastModifiedBy>
  <dcterms:created xsi:type="dcterms:W3CDTF">2021-07-21T13:21:52Z</dcterms:created>
  <dcterms:modified xsi:type="dcterms:W3CDTF">2021-07-22T12:30:50Z</dcterms:modified>
</cp:coreProperties>
</file>