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quierA\Desktop\doc alex\"/>
    </mc:Choice>
  </mc:AlternateContent>
  <bookViews>
    <workbookView xWindow="0" yWindow="0" windowWidth="28800" windowHeight="12300"/>
  </bookViews>
  <sheets>
    <sheet name="méthode 1" sheetId="1" r:id="rId1"/>
    <sheet name="méthode 2" sheetId="2" r:id="rId2"/>
    <sheet name="méthode 3" sheetId="4" r:id="rId3"/>
    <sheet name="données" sheetId="3" r:id="rId4"/>
  </sheets>
  <externalReferences>
    <externalReference r:id="rId5"/>
    <externalReference r:id="rId6"/>
  </externalReferenc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" l="1"/>
  <c r="J23" i="1"/>
  <c r="N15" i="1"/>
  <c r="N17" i="1"/>
  <c r="N18" i="1"/>
  <c r="N20" i="1"/>
  <c r="N21" i="1"/>
  <c r="N23" i="1"/>
  <c r="N24" i="1"/>
  <c r="N26" i="1"/>
  <c r="N27" i="1"/>
  <c r="N28" i="1"/>
  <c r="F14" i="1"/>
  <c r="M15" i="1"/>
  <c r="M17" i="1"/>
  <c r="M18" i="1"/>
  <c r="M20" i="1"/>
  <c r="M21" i="1"/>
  <c r="M23" i="1"/>
  <c r="M24" i="1"/>
  <c r="M26" i="1"/>
  <c r="M27" i="1"/>
  <c r="M28" i="1"/>
  <c r="M14" i="1"/>
  <c r="R14" i="2" l="1"/>
  <c r="S15" i="2"/>
  <c r="S17" i="2"/>
  <c r="S18" i="2"/>
  <c r="S20" i="2"/>
  <c r="S21" i="2"/>
  <c r="S23" i="2"/>
  <c r="S24" i="2"/>
  <c r="S26" i="2"/>
  <c r="S27" i="2"/>
  <c r="S28" i="2"/>
  <c r="S14" i="2"/>
  <c r="N14" i="2"/>
  <c r="O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J14" i="2"/>
  <c r="I14" i="2"/>
  <c r="H14" i="2"/>
  <c r="J15" i="1"/>
  <c r="J17" i="1"/>
  <c r="J18" i="1"/>
  <c r="J20" i="1"/>
  <c r="J21" i="1"/>
  <c r="J24" i="1"/>
  <c r="J26" i="1"/>
  <c r="J27" i="1"/>
  <c r="J28" i="1"/>
  <c r="L15" i="1"/>
  <c r="L17" i="1"/>
  <c r="L18" i="1"/>
  <c r="L20" i="1"/>
  <c r="L21" i="1"/>
  <c r="L23" i="1"/>
  <c r="L24" i="1"/>
  <c r="L26" i="1"/>
  <c r="L27" i="1"/>
  <c r="L28" i="1"/>
  <c r="L14" i="1"/>
  <c r="J14" i="1"/>
  <c r="H24" i="4" l="1"/>
  <c r="H26" i="4"/>
  <c r="I26" i="4" s="1"/>
  <c r="F8" i="4"/>
  <c r="E8" i="2"/>
  <c r="C28" i="4"/>
  <c r="F28" i="4" s="1"/>
  <c r="G28" i="4" s="1"/>
  <c r="C27" i="4"/>
  <c r="F27" i="4" s="1"/>
  <c r="C26" i="4"/>
  <c r="F26" i="4" s="1"/>
  <c r="C24" i="4"/>
  <c r="F24" i="4" s="1"/>
  <c r="I24" i="4" s="1"/>
  <c r="C23" i="4"/>
  <c r="F23" i="4" s="1"/>
  <c r="C21" i="4"/>
  <c r="F21" i="4" s="1"/>
  <c r="C20" i="4"/>
  <c r="F20" i="4" s="1"/>
  <c r="C18" i="4"/>
  <c r="F18" i="4" s="1"/>
  <c r="C17" i="4"/>
  <c r="F17" i="4" s="1"/>
  <c r="G17" i="4" s="1"/>
  <c r="C15" i="4"/>
  <c r="F15" i="4" s="1"/>
  <c r="C14" i="4"/>
  <c r="H14" i="4" s="1"/>
  <c r="D8" i="4"/>
  <c r="J8" i="4" s="1"/>
  <c r="B8" i="4"/>
  <c r="G8" i="1"/>
  <c r="E8" i="1"/>
  <c r="H23" i="4" l="1"/>
  <c r="I23" i="4" s="1"/>
  <c r="H21" i="4"/>
  <c r="I21" i="4" s="1"/>
  <c r="H20" i="4"/>
  <c r="I20" i="4" s="1"/>
  <c r="E15" i="4"/>
  <c r="J15" i="4" s="1"/>
  <c r="K15" i="4" s="1"/>
  <c r="F14" i="4"/>
  <c r="I14" i="4" s="1"/>
  <c r="H18" i="4"/>
  <c r="I18" i="4" s="1"/>
  <c r="H17" i="4"/>
  <c r="I17" i="4" s="1"/>
  <c r="H28" i="4"/>
  <c r="I28" i="4" s="1"/>
  <c r="H15" i="4"/>
  <c r="I15" i="4" s="1"/>
  <c r="H27" i="4"/>
  <c r="I27" i="4" s="1"/>
  <c r="E27" i="4"/>
  <c r="J27" i="4" s="1"/>
  <c r="K27" i="4" s="1"/>
  <c r="E19" i="4"/>
  <c r="E17" i="4"/>
  <c r="J17" i="4" s="1"/>
  <c r="K17" i="4" s="1"/>
  <c r="E22" i="4"/>
  <c r="E28" i="4"/>
  <c r="J28" i="4" s="1"/>
  <c r="K28" i="4" s="1"/>
  <c r="E20" i="4"/>
  <c r="J20" i="4" s="1"/>
  <c r="K20" i="4" s="1"/>
  <c r="E26" i="4"/>
  <c r="J26" i="4" s="1"/>
  <c r="K26" i="4" s="1"/>
  <c r="E18" i="4"/>
  <c r="J18" i="4" s="1"/>
  <c r="K18" i="4" s="1"/>
  <c r="E25" i="4"/>
  <c r="E24" i="4"/>
  <c r="J24" i="4" s="1"/>
  <c r="K24" i="4" s="1"/>
  <c r="E16" i="4"/>
  <c r="E14" i="4"/>
  <c r="J14" i="4" s="1"/>
  <c r="K14" i="4" s="1"/>
  <c r="E21" i="4"/>
  <c r="J21" i="4" s="1"/>
  <c r="K21" i="4" s="1"/>
  <c r="E23" i="4"/>
  <c r="J23" i="4" s="1"/>
  <c r="K23" i="4" s="1"/>
  <c r="G18" i="4"/>
  <c r="G24" i="4"/>
  <c r="G20" i="4"/>
  <c r="G21" i="4"/>
  <c r="G23" i="4"/>
  <c r="G26" i="4"/>
  <c r="G15" i="4"/>
  <c r="G27" i="4"/>
  <c r="G14" i="4" l="1"/>
  <c r="G8" i="2" l="1"/>
  <c r="E20" i="2"/>
  <c r="D17" i="2"/>
  <c r="E14" i="2"/>
  <c r="H28" i="2"/>
  <c r="H27" i="2"/>
  <c r="O27" i="2" s="1"/>
  <c r="H26" i="2"/>
  <c r="O26" i="2" s="1"/>
  <c r="G24" i="2"/>
  <c r="K24" i="2" s="1"/>
  <c r="L24" i="2" s="1"/>
  <c r="H23" i="2"/>
  <c r="O23" i="2" s="1"/>
  <c r="H21" i="2"/>
  <c r="O21" i="2" s="1"/>
  <c r="H20" i="2"/>
  <c r="O20" i="2" s="1"/>
  <c r="G18" i="2"/>
  <c r="K18" i="2" s="1"/>
  <c r="L18" i="2" s="1"/>
  <c r="H17" i="2"/>
  <c r="H15" i="2"/>
  <c r="O15" i="2" s="1"/>
  <c r="H15" i="3"/>
  <c r="J15" i="3" s="1"/>
  <c r="I15" i="3"/>
  <c r="H14" i="3"/>
  <c r="J14" i="3" s="1"/>
  <c r="I14" i="3"/>
  <c r="H13" i="3"/>
  <c r="J13" i="3"/>
  <c r="I13" i="3"/>
  <c r="H12" i="3"/>
  <c r="J12" i="3" s="1"/>
  <c r="I12" i="3"/>
  <c r="H11" i="3"/>
  <c r="J11" i="3"/>
  <c r="I11" i="3"/>
  <c r="H10" i="3"/>
  <c r="J10" i="3" s="1"/>
  <c r="I10" i="3"/>
  <c r="H9" i="3"/>
  <c r="J9" i="3" s="1"/>
  <c r="I9" i="3"/>
  <c r="H8" i="3"/>
  <c r="J8" i="3" s="1"/>
  <c r="I8" i="3"/>
  <c r="H7" i="3"/>
  <c r="J7" i="3" s="1"/>
  <c r="I7" i="3"/>
  <c r="H6" i="3"/>
  <c r="J6" i="3"/>
  <c r="I6" i="3"/>
  <c r="C28" i="1"/>
  <c r="F28" i="1" s="1"/>
  <c r="C27" i="1"/>
  <c r="F27" i="1" s="1"/>
  <c r="C26" i="1"/>
  <c r="E26" i="1" s="1"/>
  <c r="G26" i="1" s="1"/>
  <c r="H26" i="1" s="1"/>
  <c r="C24" i="1"/>
  <c r="F24" i="1" s="1"/>
  <c r="C23" i="1"/>
  <c r="F23" i="1" s="1"/>
  <c r="C21" i="1"/>
  <c r="F21" i="1" s="1"/>
  <c r="C20" i="1"/>
  <c r="F20" i="1" s="1"/>
  <c r="C18" i="1"/>
  <c r="F18" i="1" s="1"/>
  <c r="C17" i="1"/>
  <c r="F17" i="1" s="1"/>
  <c r="C15" i="1"/>
  <c r="F15" i="1" s="1"/>
  <c r="C14" i="1"/>
  <c r="E14" i="1" l="1"/>
  <c r="F26" i="1"/>
  <c r="E17" i="1"/>
  <c r="G17" i="1" s="1"/>
  <c r="H17" i="1" s="1"/>
  <c r="E28" i="1"/>
  <c r="G28" i="1" s="1"/>
  <c r="H28" i="1" s="1"/>
  <c r="E18" i="1"/>
  <c r="G18" i="1" s="1"/>
  <c r="H18" i="1" s="1"/>
  <c r="E24" i="1"/>
  <c r="G24" i="1" s="1"/>
  <c r="H24" i="1" s="1"/>
  <c r="I17" i="1"/>
  <c r="O17" i="1" s="1"/>
  <c r="O17" i="2"/>
  <c r="D28" i="2"/>
  <c r="D14" i="2"/>
  <c r="O28" i="2"/>
  <c r="D21" i="2"/>
  <c r="E28" i="2"/>
  <c r="E17" i="2"/>
  <c r="D23" i="2"/>
  <c r="E18" i="2"/>
  <c r="D20" i="2"/>
  <c r="N20" i="2" s="1"/>
  <c r="E27" i="2"/>
  <c r="E15" i="2"/>
  <c r="D18" i="2"/>
  <c r="E26" i="2"/>
  <c r="D27" i="2"/>
  <c r="D15" i="2"/>
  <c r="E23" i="2"/>
  <c r="E24" i="2"/>
  <c r="D26" i="2"/>
  <c r="E21" i="2"/>
  <c r="D24" i="2"/>
  <c r="H18" i="2"/>
  <c r="H24" i="2"/>
  <c r="G17" i="2"/>
  <c r="K17" i="2" s="1"/>
  <c r="L17" i="2" s="1"/>
  <c r="G23" i="2"/>
  <c r="K23" i="2" s="1"/>
  <c r="L23" i="2" s="1"/>
  <c r="G28" i="2"/>
  <c r="K28" i="2" s="1"/>
  <c r="L28" i="2" s="1"/>
  <c r="G15" i="2"/>
  <c r="K15" i="2" s="1"/>
  <c r="L15" i="2" s="1"/>
  <c r="M18" i="2"/>
  <c r="G21" i="2"/>
  <c r="K21" i="2" s="1"/>
  <c r="L21" i="2" s="1"/>
  <c r="M24" i="2"/>
  <c r="G27" i="2"/>
  <c r="K27" i="2" s="1"/>
  <c r="L27" i="2" s="1"/>
  <c r="G14" i="2"/>
  <c r="K14" i="2" s="1"/>
  <c r="L14" i="2" s="1"/>
  <c r="G20" i="2"/>
  <c r="K20" i="2" s="1"/>
  <c r="L20" i="2" s="1"/>
  <c r="G26" i="2"/>
  <c r="K26" i="2" s="1"/>
  <c r="L26" i="2" s="1"/>
  <c r="E23" i="1"/>
  <c r="I15" i="1"/>
  <c r="E21" i="1"/>
  <c r="G21" i="1" s="1"/>
  <c r="H21" i="1" s="1"/>
  <c r="I27" i="1"/>
  <c r="O27" i="1" s="1"/>
  <c r="E20" i="1"/>
  <c r="I26" i="1"/>
  <c r="O26" i="1" s="1"/>
  <c r="E15" i="1"/>
  <c r="G15" i="1" s="1"/>
  <c r="H15" i="1" s="1"/>
  <c r="E27" i="1"/>
  <c r="G27" i="1" s="1"/>
  <c r="H27" i="1" s="1"/>
  <c r="K15" i="1" l="1"/>
  <c r="O15" i="1"/>
  <c r="M15" i="2"/>
  <c r="Q20" i="2"/>
  <c r="R20" i="2"/>
  <c r="G14" i="1"/>
  <c r="H14" i="1" s="1"/>
  <c r="I14" i="1"/>
  <c r="K27" i="1"/>
  <c r="K17" i="1"/>
  <c r="K26" i="1"/>
  <c r="I28" i="1"/>
  <c r="O28" i="1" s="1"/>
  <c r="I24" i="1"/>
  <c r="O24" i="1" s="1"/>
  <c r="I18" i="1"/>
  <c r="O18" i="1" s="1"/>
  <c r="Q14" i="2"/>
  <c r="M17" i="2"/>
  <c r="R26" i="2"/>
  <c r="N26" i="2"/>
  <c r="Q26" i="2" s="1"/>
  <c r="O24" i="2"/>
  <c r="N18" i="2"/>
  <c r="R18" i="2"/>
  <c r="N21" i="2"/>
  <c r="Q21" i="2" s="1"/>
  <c r="R21" i="2"/>
  <c r="O18" i="2"/>
  <c r="R15" i="2"/>
  <c r="N15" i="2"/>
  <c r="Q15" i="2" s="1"/>
  <c r="R27" i="2"/>
  <c r="N27" i="2"/>
  <c r="Q27" i="2" s="1"/>
  <c r="R17" i="2"/>
  <c r="N17" i="2"/>
  <c r="Q17" i="2" s="1"/>
  <c r="N24" i="2"/>
  <c r="R24" i="2"/>
  <c r="N23" i="2"/>
  <c r="Q23" i="2" s="1"/>
  <c r="R23" i="2"/>
  <c r="R28" i="2"/>
  <c r="N28" i="2"/>
  <c r="Q28" i="2" s="1"/>
  <c r="M26" i="2"/>
  <c r="M28" i="2"/>
  <c r="M27" i="2"/>
  <c r="M23" i="2"/>
  <c r="M21" i="2"/>
  <c r="M20" i="2"/>
  <c r="M14" i="2"/>
  <c r="I21" i="1"/>
  <c r="O21" i="1" s="1"/>
  <c r="I20" i="1"/>
  <c r="O20" i="1" s="1"/>
  <c r="G20" i="1"/>
  <c r="H20" i="1" s="1"/>
  <c r="I23" i="1"/>
  <c r="O23" i="1" s="1"/>
  <c r="G23" i="1"/>
  <c r="H23" i="1" s="1"/>
  <c r="O14" i="1" l="1"/>
  <c r="K14" i="1"/>
  <c r="Q24" i="2"/>
  <c r="K18" i="1"/>
  <c r="K28" i="1"/>
  <c r="K20" i="1"/>
  <c r="K21" i="1"/>
  <c r="K24" i="1"/>
  <c r="K23" i="1"/>
  <c r="Q18" i="2"/>
</calcChain>
</file>

<file path=xl/sharedStrings.xml><?xml version="1.0" encoding="utf-8"?>
<sst xmlns="http://schemas.openxmlformats.org/spreadsheetml/2006/main" count="154" uniqueCount="94">
  <si>
    <t>PIQUIER ALEXANDRE</t>
  </si>
  <si>
    <t>coefficient de convection</t>
  </si>
  <si>
    <t>h [W/m²K]</t>
  </si>
  <si>
    <t>coefficient de conduction</t>
  </si>
  <si>
    <t>date</t>
  </si>
  <si>
    <t xml:space="preserve"> AFFAIRE N°</t>
  </si>
  <si>
    <t>FM1/2/3</t>
  </si>
  <si>
    <t>ALPUR1/2/3</t>
  </si>
  <si>
    <t xml:space="preserve">interne </t>
  </si>
  <si>
    <t>acier</t>
  </si>
  <si>
    <t>externe</t>
  </si>
  <si>
    <t>calorifuge</t>
  </si>
  <si>
    <t xml:space="preserve"> </t>
  </si>
  <si>
    <t>Vmin [m/s]</t>
  </si>
  <si>
    <t>Te [°C]</t>
  </si>
  <si>
    <t>Ta [°C]</t>
  </si>
  <si>
    <t xml:space="preserve">masse volumique air  0°C [kg/m^3] </t>
  </si>
  <si>
    <t>Cp du gap [J/Kg/K]</t>
  </si>
  <si>
    <t>U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</si>
  <si>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re-b</t>
  </si>
  <si>
    <t>méthode 1 : variation de pression ΔP</t>
  </si>
  <si>
    <t>Diamètre [mm]</t>
  </si>
  <si>
    <t>Longueur droite [m]</t>
  </si>
  <si>
    <t>section [m²]</t>
  </si>
  <si>
    <t>surface d'échange</t>
  </si>
  <si>
    <t>débit min [m^3/h]</t>
  </si>
  <si>
    <t>débit [m3/s]</t>
  </si>
  <si>
    <t>Débit massique Qm [Kg/s]</t>
  </si>
  <si>
    <t>Ts [°C]</t>
  </si>
  <si>
    <t>FM1</t>
  </si>
  <si>
    <t>ALPUR 1</t>
  </si>
  <si>
    <t>FM2</t>
  </si>
  <si>
    <t>ALPUR 2</t>
  </si>
  <si>
    <t>FM3</t>
  </si>
  <si>
    <t>ALPUR 3</t>
  </si>
  <si>
    <t>FM4</t>
  </si>
  <si>
    <t>ALPUR4</t>
  </si>
  <si>
    <t>FM5</t>
  </si>
  <si>
    <t>ALPUR5/7</t>
  </si>
  <si>
    <t>FM7</t>
  </si>
  <si>
    <t>diamètre int</t>
  </si>
  <si>
    <t>température ext</t>
  </si>
  <si>
    <t>Vitesse[m/s]</t>
  </si>
  <si>
    <t>O2</t>
  </si>
  <si>
    <t>CO2</t>
  </si>
  <si>
    <t>TEMPERATURE</t>
  </si>
  <si>
    <t>Mv</t>
  </si>
  <si>
    <t>Viscosité dynamique</t>
  </si>
  <si>
    <t>T en Kelvin</t>
  </si>
  <si>
    <t>DN</t>
  </si>
  <si>
    <t>°C</t>
  </si>
  <si>
    <t>V</t>
  </si>
  <si>
    <t>%</t>
  </si>
  <si>
    <t>ρ</t>
  </si>
  <si>
    <t>μ</t>
  </si>
  <si>
    <t>K</t>
  </si>
  <si>
    <t>rayon interne r1 [m]</t>
  </si>
  <si>
    <t>rayon ext r2 [m]</t>
  </si>
  <si>
    <t>flux phi W</t>
  </si>
  <si>
    <t>λ [W/mK]</t>
  </si>
  <si>
    <t>Rtot [K/W]</t>
  </si>
  <si>
    <t>Rhi interne</t>
  </si>
  <si>
    <t>interne  hi</t>
  </si>
  <si>
    <t>externe he</t>
  </si>
  <si>
    <t>Rhe externe</t>
  </si>
  <si>
    <t>Racier acier</t>
  </si>
  <si>
    <t>U [W/m²K)</t>
  </si>
  <si>
    <t>U [W/m²K]</t>
  </si>
  <si>
    <t>U avec calorifure</t>
  </si>
  <si>
    <t>Ts avec calo [°C]</t>
  </si>
  <si>
    <t>CALCUL PERTES DE CHARGE AERAULIQUES</t>
  </si>
  <si>
    <t>Temperature [°C]</t>
  </si>
  <si>
    <t>viscosité dynamique</t>
  </si>
  <si>
    <t>Reynold Re</t>
  </si>
  <si>
    <t>g [m/s²]</t>
  </si>
  <si>
    <t>reynold</t>
  </si>
  <si>
    <t>périmètre cylindre</t>
  </si>
  <si>
    <t>Dh</t>
  </si>
  <si>
    <t>conductiité acier</t>
  </si>
  <si>
    <t>capacité thermique massique Cp</t>
  </si>
  <si>
    <t xml:space="preserve">Prandtl  </t>
  </si>
  <si>
    <t>Nu</t>
  </si>
  <si>
    <t>coefficient convection h</t>
  </si>
  <si>
    <t>temperature de Sortie TS</t>
  </si>
  <si>
    <t>epaisseur tube</t>
  </si>
  <si>
    <t>epaisseur calo</t>
  </si>
  <si>
    <t>épaisseur acier</t>
  </si>
  <si>
    <t>épaisseur calo</t>
  </si>
  <si>
    <t>surface d'échange S1</t>
  </si>
  <si>
    <t>S2</t>
  </si>
  <si>
    <t>S3</t>
  </si>
  <si>
    <t>flex de chaleur</t>
  </si>
  <si>
    <t>nouvellesurface échange</t>
  </si>
  <si>
    <t>moyenne log des diamètre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</si>
</sst>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 vertical="center"/>
    </xf>
    <xf numFmtId="0" fontId="3" fillId="0" borderId="0" xfId="0" applyFont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9" borderId="1" xfId="0" applyFill="1" applyBorder="1"/>
    <xf numFmtId="0" fontId="0" fillId="9" borderId="2" xfId="0" applyFill="1" applyBorder="1"/>
    <xf numFmtId="0" fontId="0" fillId="9" borderId="2" xfId="0" applyFill="1" applyBorder="1" applyAlignment="1">
      <alignment horizontal="center"/>
    </xf>
    <xf numFmtId="0" fontId="0" fillId="9" borderId="3" xfId="0" applyFill="1" applyBorder="1"/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/>
    <xf numFmtId="0" fontId="0" fillId="0" borderId="5" xfId="0" applyFill="1" applyBorder="1"/>
    <xf numFmtId="0" fontId="0" fillId="0" borderId="6" xfId="0" applyFill="1" applyBorder="1"/>
    <xf numFmtId="0" fontId="0" fillId="0" borderId="7" xfId="0" applyFill="1" applyBorder="1"/>
    <xf numFmtId="0" fontId="0" fillId="0" borderId="8" xfId="0" applyFill="1" applyBorder="1"/>
    <xf numFmtId="0" fontId="5" fillId="7" borderId="0" xfId="0" applyFont="1" applyFill="1"/>
    <xf numFmtId="0" fontId="3" fillId="0" borderId="0" xfId="0" applyFont="1" applyFill="1"/>
    <xf numFmtId="0" fontId="0" fillId="10" borderId="0" xfId="0" applyFill="1" applyAlignment="1">
      <alignment horizontal="center" vertical="center"/>
    </xf>
    <xf numFmtId="0" fontId="0" fillId="10" borderId="0" xfId="0" applyFill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11" borderId="0" xfId="0" applyFill="1" applyAlignment="1">
      <alignment horizontal="center"/>
    </xf>
    <xf numFmtId="0" fontId="0" fillId="11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1028700</xdr:colOff>
      <xdr:row>31</xdr:row>
      <xdr:rowOff>161925</xdr:rowOff>
    </xdr:from>
    <xdr:to>
      <xdr:col>7</xdr:col>
      <xdr:colOff>1354168</xdr:colOff>
      <xdr:row>51</xdr:row>
      <xdr:rowOff>48141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71700" y="6086475"/>
          <a:ext cx="11593543" cy="3696216"/>
        </a:xfrm>
        <a:prstGeom prst="rect">
          <a:avLst/>
        </a:prstGeom>
      </xdr:spPr>
    </xdr:pic>
    <xdr:clientData/>
  </xdr:twoCellAnchor>
  <xdr:oneCellAnchor>
    <xdr:from>
      <xdr:col>18</xdr:col>
      <xdr:colOff>460343</xdr:colOff>
      <xdr:row>7</xdr:row>
      <xdr:rowOff>8412</xdr:rowOff>
    </xdr:from>
    <xdr:ext cx="1130332" cy="316946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" name="ZoneTexte 7"/>
            <xdr:cNvSpPr txBox="1"/>
          </xdr:nvSpPr>
          <xdr:spPr>
            <a:xfrm>
              <a:off x="32340518" y="1360962"/>
              <a:ext cx="1130332" cy="3169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FR" sz="11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∅</m:t>
                    </m:r>
                    <m:r>
                      <a:rPr lang="fr-FR" sz="110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fr-F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fr-F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𝑇𝑒</m:t>
                        </m:r>
                        <m:r>
                          <a:rPr lang="fr-F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 −</m:t>
                        </m:r>
                        <m:r>
                          <a:rPr lang="fr-F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𝑇𝑒𝑥𝑡</m:t>
                        </m:r>
                      </m:num>
                      <m:den>
                        <m:r>
                          <a:rPr lang="fr-FR" sz="11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𝑅𝑡𝑜𝑡</m:t>
                        </m:r>
                      </m:den>
                    </m:f>
                  </m:oMath>
                </m:oMathPara>
              </a14:m>
              <a:endParaRPr lang="fr-FR" sz="1100"/>
            </a:p>
          </xdr:txBody>
        </xdr:sp>
      </mc:Choice>
      <mc:Fallback xmlns="">
        <xdr:sp macro="" textlink="">
          <xdr:nvSpPr>
            <xdr:cNvPr id="8" name="ZoneTexte 7"/>
            <xdr:cNvSpPr txBox="1"/>
          </xdr:nvSpPr>
          <xdr:spPr>
            <a:xfrm>
              <a:off x="32340518" y="1360962"/>
              <a:ext cx="1130332" cy="31694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spAutoFit/>
            </a:bodyPr>
            <a:lstStyle/>
            <a:p>
              <a:r>
                <a:rPr lang="fr-FR" sz="1100" i="0">
                  <a:latin typeface="Cambria Math" panose="02040503050406030204" pitchFamily="18" charset="0"/>
                  <a:ea typeface="Cambria Math" panose="02040503050406030204" pitchFamily="18" charset="0"/>
                </a:rPr>
                <a:t>∅</a:t>
              </a:r>
              <a:r>
                <a:rPr lang="fr-FR" sz="11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=(𝑇𝑒 −𝑇𝑒𝑥𝑡)/𝑅𝑡𝑜𝑡</a:t>
              </a:r>
              <a:endParaRPr lang="fr-FR" sz="1100"/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le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350donn&#233;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D1"/>
      <sheetName val="données"/>
      <sheetName val="ressource"/>
      <sheetName val="point de rosée"/>
      <sheetName val="déperdition de chaleur"/>
    </sheetNames>
    <sheetDataSet>
      <sheetData sheetId="0">
        <row r="7">
          <cell r="B7">
            <v>20</v>
          </cell>
        </row>
        <row r="18">
          <cell r="C18">
            <v>250</v>
          </cell>
        </row>
        <row r="19">
          <cell r="C19">
            <v>250</v>
          </cell>
        </row>
        <row r="21">
          <cell r="C21">
            <v>250</v>
          </cell>
        </row>
        <row r="22">
          <cell r="C22">
            <v>250</v>
          </cell>
        </row>
        <row r="24">
          <cell r="C24">
            <v>250</v>
          </cell>
        </row>
        <row r="25">
          <cell r="C25">
            <v>250</v>
          </cell>
        </row>
        <row r="27">
          <cell r="C27">
            <v>350</v>
          </cell>
        </row>
        <row r="28">
          <cell r="C28">
            <v>250</v>
          </cell>
        </row>
        <row r="30">
          <cell r="C30">
            <v>350</v>
          </cell>
        </row>
        <row r="31">
          <cell r="C31">
            <v>400</v>
          </cell>
        </row>
        <row r="32">
          <cell r="C32">
            <v>350</v>
          </cell>
        </row>
      </sheetData>
      <sheetData sheetId="1"/>
      <sheetData sheetId="2">
        <row r="6">
          <cell r="I6">
            <v>1.8154951198193598E-5</v>
          </cell>
        </row>
        <row r="7">
          <cell r="I7">
            <v>1.9511862420641601E-5</v>
          </cell>
        </row>
        <row r="8">
          <cell r="I8">
            <v>2.1678937393521602E-5</v>
          </cell>
        </row>
        <row r="9">
          <cell r="I9">
            <v>2.3733732822401602E-5</v>
          </cell>
        </row>
        <row r="10">
          <cell r="I10">
            <v>2.5682912307281602E-5</v>
          </cell>
        </row>
        <row r="11">
          <cell r="I11">
            <v>2.7533139448161604E-5</v>
          </cell>
        </row>
        <row r="12">
          <cell r="I12">
            <v>2.9291077845041605E-5</v>
          </cell>
        </row>
        <row r="13">
          <cell r="I13">
            <v>3.0963391097921601E-5</v>
          </cell>
        </row>
        <row r="14">
          <cell r="I14">
            <v>3.2556742806801601E-5</v>
          </cell>
        </row>
        <row r="15">
          <cell r="I15">
            <v>3.4077796571681608E-5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50donné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zoomScale="85" zoomScaleNormal="85" workbookViewId="0">
      <selection activeCell="E9" sqref="E9"/>
    </sheetView>
  </sheetViews>
  <sheetFormatPr baseColWidth="10" defaultRowHeight="15" x14ac:dyDescent="0.25"/>
  <cols>
    <col min="1" max="1" width="16.42578125" customWidth="1"/>
    <col min="2" max="2" width="32.140625" customWidth="1"/>
    <col min="3" max="3" width="19.28515625" customWidth="1"/>
    <col min="4" max="4" width="22.85546875" customWidth="1"/>
    <col min="5" max="5" width="42.7109375" customWidth="1"/>
    <col min="6" max="6" width="24.42578125" customWidth="1"/>
    <col min="7" max="7" width="21.85546875" customWidth="1"/>
    <col min="8" max="8" width="19.7109375" customWidth="1"/>
    <col min="9" max="9" width="26" customWidth="1"/>
    <col min="10" max="10" width="19.85546875" customWidth="1"/>
    <col min="11" max="11" width="25.28515625" customWidth="1"/>
    <col min="12" max="12" width="31.42578125" customWidth="1"/>
    <col min="13" max="13" width="26.28515625" customWidth="1"/>
    <col min="14" max="14" width="21.42578125" customWidth="1"/>
    <col min="15" max="15" width="21.28515625" customWidth="1"/>
  </cols>
  <sheetData>
    <row r="1" spans="1:1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6" ht="15.75" x14ac:dyDescent="0.25">
      <c r="A2" s="34" t="s">
        <v>0</v>
      </c>
      <c r="B2" s="34"/>
      <c r="C2" s="35"/>
      <c r="D2" s="35"/>
      <c r="E2" s="35"/>
      <c r="M2" s="1"/>
      <c r="N2" s="1"/>
    </row>
    <row r="3" spans="1:16" x14ac:dyDescent="0.25">
      <c r="B3" s="2"/>
      <c r="C3" s="2"/>
      <c r="D3" s="2"/>
      <c r="J3" s="3" t="s">
        <v>1</v>
      </c>
      <c r="K3" s="4" t="s">
        <v>2</v>
      </c>
      <c r="M3" s="3" t="s">
        <v>3</v>
      </c>
      <c r="N3" s="5" t="s">
        <v>59</v>
      </c>
    </row>
    <row r="4" spans="1:16" ht="15.75" x14ac:dyDescent="0.25">
      <c r="A4" s="6" t="s">
        <v>4</v>
      </c>
      <c r="B4" s="2"/>
      <c r="C4" s="2" t="s">
        <v>5</v>
      </c>
      <c r="D4" s="2" t="s">
        <v>6</v>
      </c>
      <c r="E4" s="2" t="s">
        <v>7</v>
      </c>
      <c r="J4" t="s">
        <v>8</v>
      </c>
      <c r="K4">
        <v>27</v>
      </c>
      <c r="M4" s="1" t="s">
        <v>9</v>
      </c>
      <c r="N4" s="1">
        <v>50</v>
      </c>
    </row>
    <row r="5" spans="1:16" x14ac:dyDescent="0.25">
      <c r="J5" t="s">
        <v>10</v>
      </c>
      <c r="K5">
        <v>15</v>
      </c>
      <c r="M5" s="1" t="s">
        <v>11</v>
      </c>
      <c r="N5" s="1">
        <v>3.4000000000000002E-2</v>
      </c>
    </row>
    <row r="6" spans="1:16" x14ac:dyDescent="0.25">
      <c r="H6" t="s">
        <v>12</v>
      </c>
      <c r="M6" s="1"/>
      <c r="N6" s="1"/>
    </row>
    <row r="7" spans="1:16" x14ac:dyDescent="0.25">
      <c r="B7" s="7" t="s">
        <v>13</v>
      </c>
      <c r="C7" s="7" t="s">
        <v>14</v>
      </c>
      <c r="D7" s="7" t="s">
        <v>15</v>
      </c>
      <c r="E7" s="7" t="s">
        <v>16</v>
      </c>
      <c r="F7" s="7" t="s">
        <v>17</v>
      </c>
      <c r="G7" s="32" t="s">
        <v>66</v>
      </c>
      <c r="H7" s="7" t="s">
        <v>84</v>
      </c>
      <c r="I7" s="7" t="s">
        <v>85</v>
      </c>
      <c r="J7" s="1"/>
      <c r="K7" s="1"/>
      <c r="L7" s="1"/>
      <c r="M7" s="1"/>
      <c r="N7" s="1"/>
    </row>
    <row r="8" spans="1:16" x14ac:dyDescent="0.25">
      <c r="B8">
        <v>20</v>
      </c>
      <c r="C8">
        <v>50</v>
      </c>
      <c r="D8">
        <v>-20</v>
      </c>
      <c r="E8">
        <f>IF(C8=20,données!I6,IF(C8=50,données!I7,IF(C8=100,données!I8,IF(C8=150,données!I9,IF(C8=200,données!I10,IF(C8=250,données!I11,IF(C8=300,données!I12,IF(C8=350,données!I13,IF(C8=400,données!I14,IF(C8=450,données!I15,FALSE))))))))))</f>
        <v>1.0879551083591332</v>
      </c>
      <c r="F8">
        <v>1000</v>
      </c>
      <c r="G8" s="33">
        <f>1/((1/K4)+(1/K5))</f>
        <v>9.6428571428571423</v>
      </c>
      <c r="H8">
        <v>3.0000000000000001E-3</v>
      </c>
      <c r="I8">
        <v>0.05</v>
      </c>
      <c r="M8" s="1"/>
      <c r="N8" s="1"/>
    </row>
    <row r="9" spans="1:16" x14ac:dyDescent="0.25">
      <c r="M9" s="1"/>
      <c r="N9" s="1"/>
    </row>
    <row r="10" spans="1:16" x14ac:dyDescent="0.25">
      <c r="K10" t="s">
        <v>19</v>
      </c>
      <c r="M10" s="1"/>
      <c r="N10" s="1"/>
    </row>
    <row r="11" spans="1:16" x14ac:dyDescent="0.25">
      <c r="M11" s="1"/>
      <c r="N11" s="1"/>
    </row>
    <row r="12" spans="1:1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 t="s">
        <v>83</v>
      </c>
      <c r="L12" s="1"/>
      <c r="M12" s="1"/>
      <c r="N12" s="1"/>
    </row>
    <row r="13" spans="1:16" x14ac:dyDescent="0.25">
      <c r="A13" s="1"/>
      <c r="B13" s="8" t="s">
        <v>20</v>
      </c>
      <c r="C13" s="9" t="s">
        <v>21</v>
      </c>
      <c r="D13" s="10" t="s">
        <v>22</v>
      </c>
      <c r="E13" s="3" t="s">
        <v>23</v>
      </c>
      <c r="F13" s="3" t="s">
        <v>24</v>
      </c>
      <c r="G13" s="3" t="s">
        <v>25</v>
      </c>
      <c r="H13" s="3" t="s">
        <v>26</v>
      </c>
      <c r="I13" s="3" t="s">
        <v>27</v>
      </c>
      <c r="J13" s="4" t="s">
        <v>67</v>
      </c>
      <c r="K13" s="36" t="s">
        <v>28</v>
      </c>
      <c r="L13" s="4" t="s">
        <v>68</v>
      </c>
      <c r="M13" s="4" t="s">
        <v>93</v>
      </c>
      <c r="N13" s="4" t="s">
        <v>92</v>
      </c>
      <c r="O13" s="36" t="s">
        <v>69</v>
      </c>
      <c r="P13" s="1"/>
    </row>
    <row r="14" spans="1:16" x14ac:dyDescent="0.25">
      <c r="A14" s="1"/>
      <c r="B14" t="s">
        <v>29</v>
      </c>
      <c r="C14" s="9">
        <f>[1]FD1!C18</f>
        <v>250</v>
      </c>
      <c r="D14" s="11">
        <v>170</v>
      </c>
      <c r="E14" s="11">
        <f>(PI()*((C14)*(10^(-3)))^2)/4</f>
        <v>4.9087385212340517E-2</v>
      </c>
      <c r="F14">
        <f>2*PI()*((C14*10^(-3))/2)*D14</f>
        <v>133.51768777756621</v>
      </c>
      <c r="G14" s="11">
        <f>E14*$B$8*3600</f>
        <v>3534.2917352885174</v>
      </c>
      <c r="H14">
        <f>G14/3600</f>
        <v>0.98174770424681035</v>
      </c>
      <c r="I14" s="1">
        <f>$E$8*E14*$B$8</f>
        <v>1.0680974299551687</v>
      </c>
      <c r="J14" s="1">
        <f>1/((1/$K$4)+($H$8/$N$4)+(1/$K$5))</f>
        <v>9.6372812872552327</v>
      </c>
      <c r="K14" s="37">
        <f>($C$8*(I14*$F$8-(J14*F14)/2)+$D$8*J14*F14)/((J14*F14)/2 +I14*$F$8)</f>
        <v>-2.6285961830672306</v>
      </c>
      <c r="L14" s="1">
        <f>1/((1/$K$4)+($H$8/$N$4)+(1/$K$5)+($I$8/$N$5))</f>
        <v>0.63518199154159005</v>
      </c>
      <c r="M14" s="1">
        <f>-($H$8+$I$8)/LN(C14*10^(-3)/(C14*10^(-3)+$H$8+$I$8))</f>
        <v>0.27565132193048986</v>
      </c>
      <c r="N14" s="1">
        <f>2*PI()*(M14/2)*D14</f>
        <v>147.21730854795413</v>
      </c>
      <c r="O14" s="37">
        <f>($C$8*(I14*$F$8-(L14*N14)/2)+$D$8*L14*N14)/((L14*N14)/2 +I14*$F$8)</f>
        <v>44.128653006638316</v>
      </c>
      <c r="P14" s="1"/>
    </row>
    <row r="15" spans="1:16" x14ac:dyDescent="0.25">
      <c r="A15" s="1"/>
      <c r="B15" s="12" t="s">
        <v>30</v>
      </c>
      <c r="C15" s="9">
        <f>[1]FD1!C19</f>
        <v>250</v>
      </c>
      <c r="D15" s="10">
        <v>190</v>
      </c>
      <c r="E15" s="10">
        <f>(PI()*((C15)*(10^(-3)))^2)/4</f>
        <v>4.9087385212340517E-2</v>
      </c>
      <c r="F15" s="10">
        <f t="shared" ref="F15:F28" si="0">2*PI()*((C15*10^(-3))/2)*D15</f>
        <v>149.22565104551518</v>
      </c>
      <c r="G15" s="10">
        <f>E15*$B$8*3600</f>
        <v>3534.2917352885174</v>
      </c>
      <c r="H15" s="10">
        <f t="shared" ref="H15:H28" si="1">G15/3600</f>
        <v>0.98174770424681035</v>
      </c>
      <c r="I15" s="10">
        <f t="shared" ref="I15:I28" si="2">$E$8*E15*$B$8</f>
        <v>1.0680974299551687</v>
      </c>
      <c r="J15" s="1">
        <f t="shared" ref="J15:J28" si="3">1/((1/$K$4)+($H$8/$N$4)+(1/$K$5))</f>
        <v>9.6372812872552327</v>
      </c>
      <c r="K15" s="37">
        <f>($C$8*(I15*$F$8-(J15*F15)/2)+$D$8*J15*F15)/((J15*F15)/2 +I15*$F$8)</f>
        <v>-6.3290054152008421</v>
      </c>
      <c r="L15" s="1">
        <f t="shared" ref="L15:L28" si="4">1/((1/$K$4)+($H$8/$N$4)+(1/$K$5)+($I$8/$N$5))</f>
        <v>0.63518199154159005</v>
      </c>
      <c r="M15" s="1">
        <f t="shared" ref="M15:M28" si="5">-($H$8+$I$8)/LN(C15*10^(-3)/(C15*10^(-3)+$H$8+$I$8))</f>
        <v>0.27565132193048986</v>
      </c>
      <c r="N15" s="1">
        <f t="shared" ref="N15:N28" si="6">2*PI()*(M15/2)*D15</f>
        <v>164.53699190653697</v>
      </c>
      <c r="O15" s="37">
        <f t="shared" ref="O15:O28" si="7">($C$8*(I15*$F$8-(L15*N15)/2)+$D$8*L15*N15)/((L15*N15)/2 +I15*$F$8)</f>
        <v>43.470124089180658</v>
      </c>
      <c r="P15" s="1"/>
    </row>
    <row r="16" spans="1:16" x14ac:dyDescent="0.25">
      <c r="A16" s="1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"/>
    </row>
    <row r="17" spans="1:16" x14ac:dyDescent="0.25">
      <c r="A17" s="1"/>
      <c r="B17" t="s">
        <v>31</v>
      </c>
      <c r="C17" s="9">
        <f>[1]FD1!C21</f>
        <v>250</v>
      </c>
      <c r="D17">
        <v>145</v>
      </c>
      <c r="E17" s="11">
        <f>(PI()*((C17)*(10^(-3)))^2)/4</f>
        <v>4.9087385212340517E-2</v>
      </c>
      <c r="F17">
        <f t="shared" si="0"/>
        <v>113.88273369263</v>
      </c>
      <c r="G17" s="11">
        <f>E17*$B$8*3600</f>
        <v>3534.2917352885174</v>
      </c>
      <c r="H17">
        <f t="shared" si="1"/>
        <v>0.98174770424681035</v>
      </c>
      <c r="I17" s="1">
        <f t="shared" si="2"/>
        <v>1.0680974299551687</v>
      </c>
      <c r="J17" s="1">
        <f t="shared" si="3"/>
        <v>9.6372812872552327</v>
      </c>
      <c r="K17" s="37">
        <f t="shared" ref="K17:K28" si="8">($C$8*(I17*$F$8-(J17*F17)/2)+$D$8*J17*F17)/((J17*F17)/2 +I17*$F$8)</f>
        <v>2.4841240011793952</v>
      </c>
      <c r="L17" s="1">
        <f t="shared" si="4"/>
        <v>0.63518199154159005</v>
      </c>
      <c r="M17" s="1">
        <f t="shared" si="5"/>
        <v>0.27565132193048986</v>
      </c>
      <c r="N17" s="1">
        <f t="shared" si="6"/>
        <v>125.56770434972559</v>
      </c>
      <c r="O17" s="37">
        <f t="shared" si="7"/>
        <v>44.961009009230118</v>
      </c>
      <c r="P17" s="1"/>
    </row>
    <row r="18" spans="1:16" x14ac:dyDescent="0.25">
      <c r="A18" s="1"/>
      <c r="B18" s="12" t="s">
        <v>32</v>
      </c>
      <c r="C18" s="9">
        <f>[1]FD1!C22</f>
        <v>250</v>
      </c>
      <c r="D18" s="10">
        <v>172</v>
      </c>
      <c r="E18" s="10">
        <f>(PI()*((C18)*(10^(-3)))^2)/4</f>
        <v>4.9087385212340517E-2</v>
      </c>
      <c r="F18" s="10">
        <f t="shared" si="0"/>
        <v>135.0884841043611</v>
      </c>
      <c r="G18" s="10">
        <f>E18*$B$8*3600</f>
        <v>3534.2917352885174</v>
      </c>
      <c r="H18" s="10">
        <f t="shared" si="1"/>
        <v>0.98174770424681035</v>
      </c>
      <c r="I18" s="10">
        <f t="shared" si="2"/>
        <v>1.0680974299551687</v>
      </c>
      <c r="J18" s="1">
        <f t="shared" si="3"/>
        <v>9.6372812872552327</v>
      </c>
      <c r="K18" s="37">
        <f t="shared" si="8"/>
        <v>-3.0133010446319433</v>
      </c>
      <c r="L18" s="1">
        <f t="shared" si="4"/>
        <v>0.63518199154159005</v>
      </c>
      <c r="M18" s="1">
        <f t="shared" si="5"/>
        <v>0.27565132193048986</v>
      </c>
      <c r="N18" s="1">
        <f t="shared" si="6"/>
        <v>148.94927688381242</v>
      </c>
      <c r="O18" s="37">
        <f t="shared" si="7"/>
        <v>44.062507838376185</v>
      </c>
      <c r="P18" s="1"/>
    </row>
    <row r="19" spans="1:16" x14ac:dyDescent="0.25">
      <c r="A19" s="1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"/>
    </row>
    <row r="20" spans="1:16" x14ac:dyDescent="0.25">
      <c r="A20" s="1"/>
      <c r="B20" t="s">
        <v>33</v>
      </c>
      <c r="C20" s="9">
        <f>[1]FD1!C24</f>
        <v>250</v>
      </c>
      <c r="D20">
        <v>120</v>
      </c>
      <c r="E20" s="11">
        <f>(PI()*((C20)*(10^(-3)))^2)/4</f>
        <v>4.9087385212340517E-2</v>
      </c>
      <c r="F20">
        <f t="shared" si="0"/>
        <v>94.247779607693786</v>
      </c>
      <c r="G20" s="11">
        <f>E20*$B$8*3600</f>
        <v>3534.2917352885174</v>
      </c>
      <c r="H20">
        <f t="shared" si="1"/>
        <v>0.98174770424681035</v>
      </c>
      <c r="I20" s="1">
        <f t="shared" si="2"/>
        <v>1.0680974299551687</v>
      </c>
      <c r="J20" s="1">
        <f t="shared" si="3"/>
        <v>9.6372812872552327</v>
      </c>
      <c r="K20" s="37">
        <f t="shared" si="8"/>
        <v>8.2323979416501469</v>
      </c>
      <c r="L20" s="1">
        <f t="shared" si="4"/>
        <v>0.63518199154159005</v>
      </c>
      <c r="M20" s="1">
        <f t="shared" si="5"/>
        <v>0.27565132193048986</v>
      </c>
      <c r="N20" s="1">
        <f t="shared" si="6"/>
        <v>103.91810015149704</v>
      </c>
      <c r="O20" s="37">
        <f t="shared" si="7"/>
        <v>45.803760147030076</v>
      </c>
      <c r="P20" s="1"/>
    </row>
    <row r="21" spans="1:16" x14ac:dyDescent="0.25">
      <c r="A21" s="1"/>
      <c r="B21" s="12" t="s">
        <v>34</v>
      </c>
      <c r="C21" s="9">
        <f>[1]FD1!C25</f>
        <v>250</v>
      </c>
      <c r="D21" s="10">
        <v>140</v>
      </c>
      <c r="E21" s="10">
        <f>(PI()*((C21)*(10^(-3)))^2)/4</f>
        <v>4.9087385212340517E-2</v>
      </c>
      <c r="F21" s="10">
        <f t="shared" si="0"/>
        <v>109.95574287564276</v>
      </c>
      <c r="G21" s="10">
        <f>E21*$B$8*3600</f>
        <v>3534.2917352885174</v>
      </c>
      <c r="H21" s="10">
        <f t="shared" si="1"/>
        <v>0.98174770424681035</v>
      </c>
      <c r="I21" s="10">
        <f t="shared" si="2"/>
        <v>1.0680974299551687</v>
      </c>
      <c r="J21" s="1">
        <f t="shared" si="3"/>
        <v>9.6372812872552327</v>
      </c>
      <c r="K21" s="37">
        <f t="shared" si="8"/>
        <v>3.5793218965713169</v>
      </c>
      <c r="L21" s="1">
        <f t="shared" si="4"/>
        <v>0.63518199154159005</v>
      </c>
      <c r="M21" s="1">
        <f t="shared" si="5"/>
        <v>0.27565132193048986</v>
      </c>
      <c r="N21" s="1">
        <f t="shared" si="6"/>
        <v>121.23778351007988</v>
      </c>
      <c r="O21" s="37">
        <f t="shared" si="7"/>
        <v>45.128721425451097</v>
      </c>
      <c r="P21" s="1"/>
    </row>
    <row r="22" spans="1:16" x14ac:dyDescent="0.25">
      <c r="A22" s="1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"/>
    </row>
    <row r="23" spans="1:16" x14ac:dyDescent="0.25">
      <c r="A23" s="1"/>
      <c r="B23" t="s">
        <v>35</v>
      </c>
      <c r="C23" s="1">
        <f>[1]FD1!C27</f>
        <v>350</v>
      </c>
      <c r="D23">
        <v>184</v>
      </c>
      <c r="E23" s="1">
        <f>(PI()*((C23)*(10^(-3)))^2)/4</f>
        <v>9.6211275016187439E-2</v>
      </c>
      <c r="F23">
        <f t="shared" si="0"/>
        <v>202.31856689118268</v>
      </c>
      <c r="G23" s="1">
        <f>E23*$B$8*3600</f>
        <v>6927.2118011654957</v>
      </c>
      <c r="H23">
        <f t="shared" si="1"/>
        <v>1.9242255003237487</v>
      </c>
      <c r="I23" s="1">
        <f t="shared" si="2"/>
        <v>2.0934709627121313</v>
      </c>
      <c r="J23" s="1">
        <f t="shared" si="3"/>
        <v>9.6372812872552327</v>
      </c>
      <c r="K23" s="37">
        <f t="shared" si="8"/>
        <v>5.5184016231168336</v>
      </c>
      <c r="L23" s="1">
        <f t="shared" si="4"/>
        <v>0.63518199154159005</v>
      </c>
      <c r="M23" s="1">
        <f t="shared" si="5"/>
        <v>0.375877441215904</v>
      </c>
      <c r="N23" s="1">
        <f t="shared" si="6"/>
        <v>217.27710066721846</v>
      </c>
      <c r="O23" s="37">
        <f t="shared" si="7"/>
        <v>45.532558903496309</v>
      </c>
      <c r="P23" s="1"/>
    </row>
    <row r="24" spans="1:16" x14ac:dyDescent="0.25">
      <c r="A24" s="1"/>
      <c r="B24" s="10" t="s">
        <v>36</v>
      </c>
      <c r="C24" s="14">
        <f>[1]FD1!C28</f>
        <v>250</v>
      </c>
      <c r="D24" s="10">
        <v>191</v>
      </c>
      <c r="E24" s="10">
        <f>(PI()*((C24)*(10^(-3)))^2)/4</f>
        <v>4.9087385212340517E-2</v>
      </c>
      <c r="F24" s="10">
        <f t="shared" si="0"/>
        <v>150.01104920891262</v>
      </c>
      <c r="G24" s="10">
        <f>E24*$B$8*3600</f>
        <v>3534.2917352885174</v>
      </c>
      <c r="H24" s="10">
        <f t="shared" si="1"/>
        <v>0.98174770424681035</v>
      </c>
      <c r="I24" s="10">
        <f t="shared" si="2"/>
        <v>1.0680974299551687</v>
      </c>
      <c r="J24" s="1">
        <f t="shared" si="3"/>
        <v>9.6372812872552327</v>
      </c>
      <c r="K24" s="37">
        <f t="shared" si="8"/>
        <v>-6.5058153542627792</v>
      </c>
      <c r="L24" s="1">
        <f t="shared" si="4"/>
        <v>0.63518199154159005</v>
      </c>
      <c r="M24" s="1">
        <f t="shared" si="5"/>
        <v>0.27565132193048986</v>
      </c>
      <c r="N24" s="1">
        <f t="shared" si="6"/>
        <v>165.40297607446612</v>
      </c>
      <c r="O24" s="37">
        <f t="shared" si="7"/>
        <v>43.437367342916914</v>
      </c>
      <c r="P24" s="1"/>
    </row>
    <row r="25" spans="1:16" x14ac:dyDescent="0.25">
      <c r="A25" s="1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"/>
    </row>
    <row r="26" spans="1:16" x14ac:dyDescent="0.25">
      <c r="A26" s="1"/>
      <c r="B26" t="s">
        <v>37</v>
      </c>
      <c r="C26" s="1">
        <f>[1]FD1!C30</f>
        <v>350</v>
      </c>
      <c r="D26">
        <v>140</v>
      </c>
      <c r="E26" s="1">
        <f>(PI()*((C26)*(10^(-3)))^2)/4</f>
        <v>9.6211275016187439E-2</v>
      </c>
      <c r="F26">
        <f t="shared" si="0"/>
        <v>153.93804002589985</v>
      </c>
      <c r="G26" s="1">
        <f>E26*$B$8*3600</f>
        <v>6927.2118011654957</v>
      </c>
      <c r="H26">
        <f t="shared" si="1"/>
        <v>1.9242255003237487</v>
      </c>
      <c r="I26" s="1">
        <f t="shared" si="2"/>
        <v>2.0934709627121313</v>
      </c>
      <c r="J26" s="1">
        <f t="shared" si="3"/>
        <v>9.6372812872552327</v>
      </c>
      <c r="K26" s="37">
        <f t="shared" si="8"/>
        <v>13.372419465512468</v>
      </c>
      <c r="L26" s="1">
        <f t="shared" si="4"/>
        <v>0.63518199154159005</v>
      </c>
      <c r="M26" s="1">
        <f t="shared" si="5"/>
        <v>0.375877441215904</v>
      </c>
      <c r="N26" s="1">
        <f t="shared" si="6"/>
        <v>165.31953311636187</v>
      </c>
      <c r="O26" s="37">
        <f t="shared" si="7"/>
        <v>46.574722695115767</v>
      </c>
      <c r="P26" s="1"/>
    </row>
    <row r="27" spans="1:16" x14ac:dyDescent="0.25">
      <c r="A27" s="1"/>
      <c r="B27" s="10" t="s">
        <v>38</v>
      </c>
      <c r="C27" s="14">
        <f>[1]FD1!C31</f>
        <v>400</v>
      </c>
      <c r="D27" s="10">
        <v>125</v>
      </c>
      <c r="E27" s="10">
        <f>(PI()*((C27)*(10^(-3)))^2)/4</f>
        <v>0.12566370614359174</v>
      </c>
      <c r="F27" s="10">
        <f t="shared" si="0"/>
        <v>157.07963267948966</v>
      </c>
      <c r="G27" s="10">
        <f>E27*$B$8*3600</f>
        <v>9047.7868423386044</v>
      </c>
      <c r="H27" s="10">
        <f t="shared" si="1"/>
        <v>2.5132741228718345</v>
      </c>
      <c r="I27" s="10">
        <f t="shared" si="2"/>
        <v>2.7343294206852327</v>
      </c>
      <c r="J27" s="1">
        <f t="shared" si="3"/>
        <v>9.6372812872552327</v>
      </c>
      <c r="K27" s="37">
        <f t="shared" si="8"/>
        <v>19.647617828692365</v>
      </c>
      <c r="L27" s="1">
        <f t="shared" si="4"/>
        <v>0.63518199154159005</v>
      </c>
      <c r="M27" s="1">
        <f t="shared" si="5"/>
        <v>0.42595058661550417</v>
      </c>
      <c r="N27" s="1">
        <f t="shared" si="6"/>
        <v>167.27040421294134</v>
      </c>
      <c r="O27" s="37">
        <f t="shared" si="7"/>
        <v>47.331865180606009</v>
      </c>
      <c r="P27" s="1"/>
    </row>
    <row r="28" spans="1:16" x14ac:dyDescent="0.25">
      <c r="A28" s="1"/>
      <c r="B28" t="s">
        <v>39</v>
      </c>
      <c r="C28" s="1">
        <f>[1]FD1!C32</f>
        <v>350</v>
      </c>
      <c r="D28">
        <v>120</v>
      </c>
      <c r="E28" s="1">
        <f>(PI()*((C28)*(10^(-3)))^2)/4</f>
        <v>9.6211275016187439E-2</v>
      </c>
      <c r="F28">
        <f t="shared" si="0"/>
        <v>131.94689145077132</v>
      </c>
      <c r="G28" s="1">
        <f>E28*$B$8*3600</f>
        <v>6927.2118011654957</v>
      </c>
      <c r="H28">
        <f t="shared" si="1"/>
        <v>1.9242255003237487</v>
      </c>
      <c r="I28" s="1">
        <f t="shared" si="2"/>
        <v>2.0934709627121313</v>
      </c>
      <c r="J28" s="1">
        <f t="shared" si="3"/>
        <v>9.6372812872552327</v>
      </c>
      <c r="K28" s="37">
        <f t="shared" si="8"/>
        <v>17.38597926532417</v>
      </c>
      <c r="L28" s="1">
        <f t="shared" si="4"/>
        <v>0.63518199154159005</v>
      </c>
      <c r="M28" s="1">
        <f t="shared" si="5"/>
        <v>0.375877441215904</v>
      </c>
      <c r="N28" s="1">
        <f t="shared" si="6"/>
        <v>141.7024569568816</v>
      </c>
      <c r="O28" s="37">
        <f t="shared" si="7"/>
        <v>47.053750348808663</v>
      </c>
      <c r="P28" s="1"/>
    </row>
    <row r="29" spans="1:16" x14ac:dyDescent="0.25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"/>
    </row>
    <row r="30" spans="1:16" x14ac:dyDescent="0.25">
      <c r="A30" s="1"/>
      <c r="I30" s="1"/>
      <c r="J30" s="1"/>
      <c r="K30" s="1"/>
      <c r="L30" s="1"/>
      <c r="M30" s="1"/>
      <c r="N30" s="1"/>
    </row>
    <row r="31" spans="1:16" x14ac:dyDescent="0.25">
      <c r="A31" s="1"/>
      <c r="B31" s="8"/>
      <c r="I31" s="1"/>
      <c r="J31" s="1"/>
      <c r="K31" s="1"/>
      <c r="L31" s="1"/>
      <c r="M31" s="1"/>
      <c r="N31" s="1"/>
    </row>
    <row r="32" spans="1:16" x14ac:dyDescent="0.25">
      <c r="B32" s="3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2:13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2:13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2:13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2:13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2:13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2:13" x14ac:dyDescent="0.25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2:13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2:13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2:13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2:13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2:13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2:13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2:13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</sheetData>
  <dataConsolidate link="1"/>
  <mergeCells count="2">
    <mergeCell ref="A2:B2"/>
    <mergeCell ref="C2:E2"/>
  </mergeCells>
  <pageMargins left="0.7" right="0.7" top="0.75" bottom="0.75" header="0.3" footer="0.3"/>
  <pageSetup paperSize="9" orientation="portrait" horizontalDpi="4294967294" verticalDpi="4294967294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données!$C$6:$C$12</xm:f>
          </x14:formula1>
          <xm:sqref>D8</xm:sqref>
        </x14:dataValidation>
        <x14:dataValidation type="list" allowBlank="1" showInputMessage="1" showErrorMessage="1">
          <x14:formula1>
            <xm:f>données!$G$6:$G$15</xm:f>
          </x14:formula1>
          <xm:sqref>C8</xm:sqref>
        </x14:dataValidation>
        <x14:dataValidation type="list" allowBlank="1" showInputMessage="1" showErrorMessage="1">
          <x14:formula1>
            <xm:f>données!$D$6:$D$9</xm:f>
          </x14:formula1>
          <xm:sqref>B8</xm:sqref>
        </x14:dataValidation>
        <x14:dataValidation type="list" allowBlank="1" showInputMessage="1" showErrorMessage="1">
          <x14:formula1>
            <xm:f>[alex.xlsx]ressource!#REF!</xm:f>
          </x14:formula1>
          <xm:sqref>C25 C44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workbookViewId="0">
      <selection activeCell="R14" sqref="R14"/>
    </sheetView>
  </sheetViews>
  <sheetFormatPr baseColWidth="10" defaultRowHeight="15" x14ac:dyDescent="0.25"/>
  <cols>
    <col min="1" max="1" width="17.140625" customWidth="1"/>
    <col min="2" max="2" width="22" customWidth="1"/>
    <col min="3" max="3" width="29.5703125" customWidth="1"/>
    <col min="4" max="4" width="27.28515625" customWidth="1"/>
    <col min="5" max="5" width="32.28515625" customWidth="1"/>
    <col min="6" max="6" width="27.42578125" customWidth="1"/>
    <col min="7" max="7" width="30.42578125" customWidth="1"/>
    <col min="8" max="8" width="27.140625" customWidth="1"/>
    <col min="9" max="9" width="32.7109375" customWidth="1"/>
    <col min="10" max="10" width="26.28515625" customWidth="1"/>
    <col min="11" max="11" width="25.42578125" customWidth="1"/>
    <col min="12" max="12" width="27.28515625" customWidth="1"/>
    <col min="13" max="13" width="29.7109375" customWidth="1"/>
    <col min="14" max="14" width="21.85546875" customWidth="1"/>
    <col min="15" max="15" width="21.42578125" customWidth="1"/>
    <col min="16" max="16" width="32.5703125" customWidth="1"/>
    <col min="17" max="17" width="22.5703125" customWidth="1"/>
    <col min="18" max="18" width="25" customWidth="1"/>
    <col min="19" max="19" width="27.140625" customWidth="1"/>
    <col min="20" max="20" width="35.140625" customWidth="1"/>
    <col min="21" max="21" width="25.5703125" customWidth="1"/>
  </cols>
  <sheetData>
    <row r="1" spans="1:19" x14ac:dyDescent="0.25">
      <c r="A1" s="1"/>
      <c r="B1" s="1"/>
      <c r="C1" s="1"/>
      <c r="D1" s="1"/>
      <c r="E1" s="1"/>
      <c r="F1" s="1"/>
      <c r="G1" s="1"/>
      <c r="H1" s="1"/>
      <c r="I1" s="1"/>
    </row>
    <row r="2" spans="1:19" ht="15.75" x14ac:dyDescent="0.25">
      <c r="A2" s="34" t="s">
        <v>0</v>
      </c>
      <c r="B2" s="34"/>
      <c r="C2" s="35"/>
      <c r="D2" s="35"/>
      <c r="E2" s="35"/>
    </row>
    <row r="3" spans="1:19" x14ac:dyDescent="0.25">
      <c r="B3" s="2"/>
      <c r="C3" s="2"/>
      <c r="D3" s="2"/>
      <c r="J3" s="3" t="s">
        <v>1</v>
      </c>
      <c r="K3" s="4" t="s">
        <v>2</v>
      </c>
      <c r="M3" s="3" t="s">
        <v>3</v>
      </c>
      <c r="N3" s="5" t="s">
        <v>59</v>
      </c>
    </row>
    <row r="4" spans="1:19" ht="15.75" x14ac:dyDescent="0.25">
      <c r="A4" s="6" t="s">
        <v>4</v>
      </c>
      <c r="B4" s="2"/>
      <c r="C4" s="2" t="s">
        <v>5</v>
      </c>
      <c r="D4" s="2" t="s">
        <v>6</v>
      </c>
      <c r="E4" s="2" t="s">
        <v>7</v>
      </c>
      <c r="J4" t="s">
        <v>62</v>
      </c>
      <c r="K4">
        <v>27</v>
      </c>
      <c r="M4" s="1" t="s">
        <v>9</v>
      </c>
      <c r="N4" s="1">
        <v>50</v>
      </c>
    </row>
    <row r="5" spans="1:19" x14ac:dyDescent="0.25">
      <c r="J5" t="s">
        <v>63</v>
      </c>
      <c r="K5">
        <v>15</v>
      </c>
      <c r="M5" s="1" t="s">
        <v>11</v>
      </c>
      <c r="N5" s="1">
        <v>3.4000000000000002E-2</v>
      </c>
    </row>
    <row r="6" spans="1:19" x14ac:dyDescent="0.25">
      <c r="H6" t="s">
        <v>12</v>
      </c>
    </row>
    <row r="7" spans="1:19" x14ac:dyDescent="0.25">
      <c r="B7" s="7" t="s">
        <v>13</v>
      </c>
      <c r="C7" s="7" t="s">
        <v>14</v>
      </c>
      <c r="D7" s="7" t="s">
        <v>15</v>
      </c>
      <c r="E7" s="7" t="s">
        <v>16</v>
      </c>
      <c r="F7" s="7" t="s">
        <v>17</v>
      </c>
      <c r="G7" s="7" t="s">
        <v>18</v>
      </c>
      <c r="H7" s="7" t="s">
        <v>86</v>
      </c>
      <c r="I7" s="7" t="s">
        <v>87</v>
      </c>
    </row>
    <row r="8" spans="1:19" x14ac:dyDescent="0.25">
      <c r="B8">
        <v>20</v>
      </c>
      <c r="C8">
        <v>50</v>
      </c>
      <c r="D8">
        <v>-20</v>
      </c>
      <c r="E8">
        <f>IF(C8=20,données!I6,IF(C8=50,données!I7,IF(C8=100,données!I8,IF(C8=150,données!I9,IF(C8=200,données!I10,IF(C8=250,données!I11,IF(C8=300,données!I12,IF(C8='[2]350données'!I13,IF(C8=400,données!I14,IF(C8=450,données!I15,FALSE))))))))))</f>
        <v>1.0879551083591332</v>
      </c>
      <c r="F8">
        <v>1000</v>
      </c>
      <c r="G8">
        <f>1/((1/K4)+(1/K5))</f>
        <v>9.6428571428571423</v>
      </c>
      <c r="H8">
        <v>3.0000000000000001E-3</v>
      </c>
      <c r="I8">
        <v>0.05</v>
      </c>
    </row>
    <row r="12" spans="1:1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19" x14ac:dyDescent="0.25">
      <c r="A13" s="1"/>
      <c r="B13" s="8" t="s">
        <v>20</v>
      </c>
      <c r="C13" s="9" t="s">
        <v>21</v>
      </c>
      <c r="D13" s="9" t="s">
        <v>56</v>
      </c>
      <c r="E13" s="9" t="s">
        <v>57</v>
      </c>
      <c r="F13" s="10" t="s">
        <v>22</v>
      </c>
      <c r="G13" s="3" t="s">
        <v>23</v>
      </c>
      <c r="H13" s="3" t="s">
        <v>88</v>
      </c>
      <c r="I13" s="3" t="s">
        <v>89</v>
      </c>
      <c r="J13" s="3" t="s">
        <v>90</v>
      </c>
      <c r="K13" s="3" t="s">
        <v>25</v>
      </c>
      <c r="L13" s="3" t="s">
        <v>26</v>
      </c>
      <c r="M13" s="3" t="s">
        <v>27</v>
      </c>
      <c r="N13" s="3" t="s">
        <v>65</v>
      </c>
      <c r="O13" s="3" t="s">
        <v>61</v>
      </c>
      <c r="P13" s="3" t="s">
        <v>64</v>
      </c>
      <c r="Q13" s="3" t="s">
        <v>60</v>
      </c>
      <c r="R13" s="3" t="s">
        <v>58</v>
      </c>
      <c r="S13" s="3" t="s">
        <v>91</v>
      </c>
    </row>
    <row r="14" spans="1:19" x14ac:dyDescent="0.25">
      <c r="A14" s="1"/>
      <c r="B14" t="s">
        <v>29</v>
      </c>
      <c r="C14" s="9">
        <v>250</v>
      </c>
      <c r="D14" s="9">
        <f>(C14/2)*10^(-3)</f>
        <v>0.125</v>
      </c>
      <c r="E14" s="9">
        <f>((C14+6)/2)*10^(-3)</f>
        <v>0.128</v>
      </c>
      <c r="F14" s="11">
        <v>170</v>
      </c>
      <c r="G14" s="11">
        <f>(PI()*((C14)*(10^(-3)))^2)/4</f>
        <v>4.9087385212340517E-2</v>
      </c>
      <c r="H14">
        <f>2*PI()*((C14*10^(-3))/2)*F14</f>
        <v>133.51768777756621</v>
      </c>
      <c r="I14">
        <f>2*PI()*(((C14+3)*10^(-3))/2)*F14</f>
        <v>135.11990003089699</v>
      </c>
      <c r="J14">
        <f>2*PI()*(((C14+53)*10^(-3))/2)*F14</f>
        <v>161.82343758641025</v>
      </c>
      <c r="K14" s="11">
        <f>G14*$B$8*3600</f>
        <v>3534.2917352885174</v>
      </c>
      <c r="L14">
        <f>K14/3600</f>
        <v>0.98174770424681035</v>
      </c>
      <c r="M14" s="1">
        <f>$E$8*G14*$B$8</f>
        <v>1.0680974299551687</v>
      </c>
      <c r="N14">
        <f>(LN(E14/D14))/(2*PI()*$N$4*F14)</f>
        <v>4.440708757783952E-7</v>
      </c>
      <c r="O14">
        <f>1/($K$4*H14)</f>
        <v>2.7739423632574351E-4</v>
      </c>
      <c r="P14">
        <f>1/($K$5*$I$14)</f>
        <v>4.9338895789163872E-4</v>
      </c>
      <c r="Q14">
        <f>N14+O14+P14</f>
        <v>7.7122726509316062E-4</v>
      </c>
      <c r="R14">
        <f>-$N$4*2*PI()*((E14+D14)/2) *(($D$8-$C$8)/LN(E14/D14))*1/((D14+E14)/2)</f>
        <v>927249.96918698179</v>
      </c>
      <c r="S14">
        <f>($C$8-($D$8)/Q14)</f>
        <v>25982.693131102016</v>
      </c>
    </row>
    <row r="15" spans="1:19" x14ac:dyDescent="0.25">
      <c r="A15" s="1"/>
      <c r="B15" s="12" t="s">
        <v>30</v>
      </c>
      <c r="C15" s="9">
        <v>250</v>
      </c>
      <c r="D15" s="9">
        <f t="shared" ref="D15:D28" si="0">(C15/2)*10^(-3)</f>
        <v>0.125</v>
      </c>
      <c r="E15" s="9">
        <f t="shared" ref="E15:E28" si="1">((C15+6)/2)*10^(-3)</f>
        <v>0.128</v>
      </c>
      <c r="F15" s="10">
        <v>190</v>
      </c>
      <c r="G15" s="10">
        <f>(PI()*((C15)*(10^(-3)))^2)/4</f>
        <v>4.9087385212340517E-2</v>
      </c>
      <c r="H15" s="10">
        <f>2*PI()*((C15*10^(-3))/2)*F15</f>
        <v>149.22565104551518</v>
      </c>
      <c r="I15">
        <f t="shared" ref="I15:I28" si="2">2*PI()*(((C15+3)*10^(-3))/2)*F15</f>
        <v>151.01635885806135</v>
      </c>
      <c r="J15">
        <f t="shared" ref="J15:J28" si="3">2*PI()*(((C15+53)*10^(-3))/2)*F15</f>
        <v>180.86148906716437</v>
      </c>
      <c r="K15" s="10">
        <f>G15*$B$8*3600</f>
        <v>3534.2917352885174</v>
      </c>
      <c r="L15" s="10">
        <f t="shared" ref="L15:L28" si="4">K15/3600</f>
        <v>0.98174770424681035</v>
      </c>
      <c r="M15" s="10">
        <f>$E$8*G15*$B$8</f>
        <v>1.0680974299551687</v>
      </c>
      <c r="N15" s="14">
        <f>(LN(E15/D15))/(2*PI()*$N$4*F15)</f>
        <v>3.973265730648799E-7</v>
      </c>
      <c r="O15" s="14">
        <f>1/($K$4*H15)</f>
        <v>2.4819484302829683E-4</v>
      </c>
      <c r="P15">
        <f t="shared" ref="P15:P28" si="5">1/($K$5*$I$14)</f>
        <v>4.9338895789163872E-4</v>
      </c>
      <c r="Q15" s="14">
        <f t="shared" ref="Q15:Q28" si="6">N15+O15+P15</f>
        <v>7.4198112749300038E-4</v>
      </c>
      <c r="R15" s="14">
        <f>-$N$4*2*PI()*((E15+D15)/2) *(($D$8-$C$8)/LN(E15/D15))*1/((D15+E15)/2)</f>
        <v>927249.96918698179</v>
      </c>
      <c r="S15">
        <f t="shared" ref="S15:S28" si="7">($C$8-($D$8)/Q15)</f>
        <v>27004.863484972768</v>
      </c>
    </row>
    <row r="16" spans="1:19" x14ac:dyDescent="0.25">
      <c r="A16" s="1"/>
      <c r="B16" s="13"/>
      <c r="C16" s="13"/>
      <c r="D16" s="13"/>
      <c r="E16" s="13"/>
      <c r="F16" s="13"/>
      <c r="G16" s="13"/>
      <c r="H16" s="13"/>
      <c r="I16">
        <f t="shared" si="2"/>
        <v>0</v>
      </c>
      <c r="J16">
        <f t="shared" si="3"/>
        <v>0</v>
      </c>
      <c r="K16" s="13"/>
      <c r="L16" s="13"/>
      <c r="M16" s="13"/>
      <c r="N16" s="30"/>
      <c r="O16" s="30"/>
      <c r="P16">
        <f t="shared" si="5"/>
        <v>4.9338895789163872E-4</v>
      </c>
      <c r="Q16" s="30"/>
      <c r="R16" s="30"/>
    </row>
    <row r="17" spans="1:19" x14ac:dyDescent="0.25">
      <c r="A17" s="1"/>
      <c r="B17" t="s">
        <v>31</v>
      </c>
      <c r="C17" s="9">
        <v>250</v>
      </c>
      <c r="D17" s="9">
        <f t="shared" si="0"/>
        <v>0.125</v>
      </c>
      <c r="E17" s="9">
        <f t="shared" si="1"/>
        <v>0.128</v>
      </c>
      <c r="F17">
        <v>145</v>
      </c>
      <c r="G17" s="11">
        <f>(PI()*((C17)*(10^(-3)))^2)/4</f>
        <v>4.9087385212340517E-2</v>
      </c>
      <c r="H17">
        <f>2*PI()*((C17*10^(-3))/2)*F17</f>
        <v>113.88273369263</v>
      </c>
      <c r="I17">
        <f t="shared" si="2"/>
        <v>115.24932649694155</v>
      </c>
      <c r="J17">
        <f t="shared" si="3"/>
        <v>138.02587323546754</v>
      </c>
      <c r="K17" s="11">
        <f>G17*$B$8*3600</f>
        <v>3534.2917352885174</v>
      </c>
      <c r="L17">
        <f t="shared" si="4"/>
        <v>0.98174770424681035</v>
      </c>
      <c r="M17" s="1">
        <f>$E$8*G17*$B$8</f>
        <v>1.0680974299551687</v>
      </c>
      <c r="N17">
        <f>(LN(E17/D17))/(2*PI()*$N$4*F17)</f>
        <v>5.2063481987811846E-7</v>
      </c>
      <c r="O17">
        <f>1/($K$4*H17)</f>
        <v>3.2522082879569931E-4</v>
      </c>
      <c r="P17">
        <f t="shared" si="5"/>
        <v>4.9338895789163872E-4</v>
      </c>
      <c r="Q17">
        <f t="shared" si="6"/>
        <v>8.1913042150721623E-4</v>
      </c>
      <c r="R17">
        <f>-$N$4*2*PI()*((E17+D17)/2) *(($D$8-$C$8)/LN(E17/D17))*1/((D17+E17)/2)</f>
        <v>927249.96918698179</v>
      </c>
      <c r="S17">
        <f t="shared" si="7"/>
        <v>24466.136276808767</v>
      </c>
    </row>
    <row r="18" spans="1:19" x14ac:dyDescent="0.25">
      <c r="A18" s="1"/>
      <c r="B18" s="12" t="s">
        <v>32</v>
      </c>
      <c r="C18" s="9">
        <v>250</v>
      </c>
      <c r="D18" s="9">
        <f t="shared" si="0"/>
        <v>0.125</v>
      </c>
      <c r="E18" s="9">
        <f t="shared" si="1"/>
        <v>0.128</v>
      </c>
      <c r="F18" s="10">
        <v>172</v>
      </c>
      <c r="G18" s="10">
        <f>(PI()*((C18)*(10^(-3)))^2)/4</f>
        <v>4.9087385212340517E-2</v>
      </c>
      <c r="H18" s="10">
        <f>2*PI()*((C18*10^(-3))/2)*F18</f>
        <v>135.0884841043611</v>
      </c>
      <c r="I18">
        <f t="shared" si="2"/>
        <v>136.70954591361343</v>
      </c>
      <c r="J18">
        <f t="shared" si="3"/>
        <v>163.72724273448566</v>
      </c>
      <c r="K18" s="10">
        <f>G18*$B$8*3600</f>
        <v>3534.2917352885174</v>
      </c>
      <c r="L18" s="10">
        <f t="shared" si="4"/>
        <v>0.98174770424681035</v>
      </c>
      <c r="M18" s="10">
        <f>$E$8*G18*$B$8</f>
        <v>1.0680974299551687</v>
      </c>
      <c r="N18" s="14">
        <f>(LN(E18/D18))/(2*PI()*$N$4*F18)</f>
        <v>4.389072609437627E-7</v>
      </c>
      <c r="O18" s="14">
        <f>1/($K$4*H18)</f>
        <v>2.7416872194986277E-4</v>
      </c>
      <c r="P18">
        <f t="shared" si="5"/>
        <v>4.9338895789163872E-4</v>
      </c>
      <c r="Q18" s="14">
        <f t="shared" si="6"/>
        <v>7.6799658710244518E-4</v>
      </c>
      <c r="R18" s="14">
        <f>-$N$4*2*PI()*((E18+D18)/2) *(($D$8-$C$8)/LN(E18/D18))*1/((D18+E18)/2)</f>
        <v>927249.96918698179</v>
      </c>
      <c r="S18">
        <f t="shared" si="7"/>
        <v>26091.78239314512</v>
      </c>
    </row>
    <row r="19" spans="1:19" x14ac:dyDescent="0.25">
      <c r="A19" s="1"/>
      <c r="B19" s="13"/>
      <c r="C19" s="13"/>
      <c r="D19" s="13"/>
      <c r="E19" s="13"/>
      <c r="F19" s="13"/>
      <c r="G19" s="13"/>
      <c r="H19" s="13"/>
      <c r="I19">
        <f t="shared" si="2"/>
        <v>0</v>
      </c>
      <c r="J19">
        <f t="shared" si="3"/>
        <v>0</v>
      </c>
      <c r="K19" s="13"/>
      <c r="L19" s="13"/>
      <c r="M19" s="13"/>
      <c r="N19" s="30"/>
      <c r="O19" s="30"/>
      <c r="P19">
        <f t="shared" si="5"/>
        <v>4.9338895789163872E-4</v>
      </c>
      <c r="Q19" s="30"/>
      <c r="R19" s="30"/>
    </row>
    <row r="20" spans="1:19" x14ac:dyDescent="0.25">
      <c r="A20" s="1"/>
      <c r="B20" t="s">
        <v>33</v>
      </c>
      <c r="C20" s="9">
        <v>250</v>
      </c>
      <c r="D20" s="9">
        <f t="shared" si="0"/>
        <v>0.125</v>
      </c>
      <c r="E20" s="9">
        <f t="shared" si="1"/>
        <v>0.128</v>
      </c>
      <c r="F20">
        <v>120</v>
      </c>
      <c r="G20" s="11">
        <f>(PI()*((C20)*(10^(-3)))^2)/4</f>
        <v>4.9087385212340517E-2</v>
      </c>
      <c r="H20">
        <f>2*PI()*((C20*10^(-3))/2)*F20</f>
        <v>94.247779607693786</v>
      </c>
      <c r="I20">
        <f t="shared" si="2"/>
        <v>95.378752962986113</v>
      </c>
      <c r="J20">
        <f t="shared" si="3"/>
        <v>114.22830888452488</v>
      </c>
      <c r="K20" s="11">
        <f>G20*$B$8*3600</f>
        <v>3534.2917352885174</v>
      </c>
      <c r="L20">
        <f t="shared" si="4"/>
        <v>0.98174770424681035</v>
      </c>
      <c r="M20" s="1">
        <f>$E$8*G20*$B$8</f>
        <v>1.0680974299551687</v>
      </c>
      <c r="N20">
        <f>(LN(E20/D20))/(2*PI()*$N$4*F20)</f>
        <v>6.2910040735272658E-7</v>
      </c>
      <c r="O20">
        <f>1/($K$4*H20)</f>
        <v>3.9297516812813668E-4</v>
      </c>
      <c r="P20">
        <f t="shared" si="5"/>
        <v>4.9338895789163872E-4</v>
      </c>
      <c r="Q20">
        <f t="shared" si="6"/>
        <v>8.8699322642712812E-4</v>
      </c>
      <c r="R20">
        <f>-$N$4*2*PI()*((E20+D20)/2) *(($D$8-$C$8)/LN(E20/D20))*1/((D20+E20)/2)</f>
        <v>927249.96918698179</v>
      </c>
      <c r="S20">
        <f t="shared" si="7"/>
        <v>22598.08650632139</v>
      </c>
    </row>
    <row r="21" spans="1:19" x14ac:dyDescent="0.25">
      <c r="A21" s="1"/>
      <c r="B21" s="12" t="s">
        <v>34</v>
      </c>
      <c r="C21" s="9">
        <v>250</v>
      </c>
      <c r="D21" s="9">
        <f t="shared" si="0"/>
        <v>0.125</v>
      </c>
      <c r="E21" s="9">
        <f t="shared" si="1"/>
        <v>0.128</v>
      </c>
      <c r="F21" s="10">
        <v>140</v>
      </c>
      <c r="G21" s="10">
        <f>(PI()*((C21)*(10^(-3)))^2)/4</f>
        <v>4.9087385212340517E-2</v>
      </c>
      <c r="H21" s="10">
        <f>2*PI()*((C21*10^(-3))/2)*F21</f>
        <v>109.95574287564276</v>
      </c>
      <c r="I21">
        <f t="shared" si="2"/>
        <v>111.27521179015046</v>
      </c>
      <c r="J21">
        <f t="shared" si="3"/>
        <v>133.26636036527901</v>
      </c>
      <c r="K21" s="10">
        <f>G21*$B$8*3600</f>
        <v>3534.2917352885174</v>
      </c>
      <c r="L21" s="10">
        <f t="shared" si="4"/>
        <v>0.98174770424681035</v>
      </c>
      <c r="M21" s="10">
        <f>$E$8*G21*$B$8</f>
        <v>1.0680974299551687</v>
      </c>
      <c r="N21" s="14">
        <f>(LN(E21/D21))/(2*PI()*$N$4*F21)</f>
        <v>5.3922892058805129E-7</v>
      </c>
      <c r="O21" s="14">
        <f>1/($K$4*H21)</f>
        <v>3.3683585839554573E-4</v>
      </c>
      <c r="P21">
        <f t="shared" si="5"/>
        <v>4.9338895789163872E-4</v>
      </c>
      <c r="Q21" s="14">
        <f t="shared" si="6"/>
        <v>8.3076404520777253E-4</v>
      </c>
      <c r="R21" s="14">
        <f>-$N$4*2*PI()*((E21+D21)/2) *(($D$8-$C$8)/LN(E21/D21))*1/((D21+E21)/2)</f>
        <v>927249.96918698179</v>
      </c>
      <c r="S21">
        <f t="shared" si="7"/>
        <v>24124.22434248227</v>
      </c>
    </row>
    <row r="22" spans="1:19" x14ac:dyDescent="0.25">
      <c r="A22" s="1"/>
      <c r="B22" s="13"/>
      <c r="C22" s="13"/>
      <c r="D22" s="13"/>
      <c r="E22" s="13"/>
      <c r="F22" s="13"/>
      <c r="G22" s="13"/>
      <c r="H22" s="13"/>
      <c r="I22">
        <f t="shared" si="2"/>
        <v>0</v>
      </c>
      <c r="J22">
        <f t="shared" si="3"/>
        <v>0</v>
      </c>
      <c r="K22" s="13"/>
      <c r="L22" s="13"/>
      <c r="M22" s="13"/>
      <c r="N22" s="30"/>
      <c r="O22" s="30"/>
      <c r="P22">
        <f t="shared" si="5"/>
        <v>4.9338895789163872E-4</v>
      </c>
      <c r="Q22" s="30"/>
      <c r="R22" s="30"/>
    </row>
    <row r="23" spans="1:19" x14ac:dyDescent="0.25">
      <c r="A23" s="1"/>
      <c r="B23" t="s">
        <v>35</v>
      </c>
      <c r="C23" s="9">
        <v>350</v>
      </c>
      <c r="D23" s="9">
        <f t="shared" si="0"/>
        <v>0.17500000000000002</v>
      </c>
      <c r="E23" s="9">
        <f t="shared" si="1"/>
        <v>0.17799999999999999</v>
      </c>
      <c r="F23">
        <v>184</v>
      </c>
      <c r="G23" s="1">
        <f>(PI()*((C23)*(10^(-3)))^2)/4</f>
        <v>9.6211275016187439E-2</v>
      </c>
      <c r="H23">
        <f>2*PI()*((C23*10^(-3))/2)*F23</f>
        <v>202.31856689118268</v>
      </c>
      <c r="I23">
        <f t="shared" si="2"/>
        <v>204.05272603596421</v>
      </c>
      <c r="J23">
        <f t="shared" si="3"/>
        <v>232.95537844899036</v>
      </c>
      <c r="K23" s="1">
        <f>G23*$B$8*3600</f>
        <v>6927.2118011654957</v>
      </c>
      <c r="L23">
        <f t="shared" si="4"/>
        <v>1.9242255003237487</v>
      </c>
      <c r="M23" s="1">
        <f>$E$8*G23*$B$8</f>
        <v>2.0934709627121313</v>
      </c>
      <c r="N23">
        <f>(LN(E23/D23))/(2*PI()*$N$4*F23)</f>
        <v>2.9404872822174344E-7</v>
      </c>
      <c r="O23">
        <f>1/($K$4*H23)</f>
        <v>1.830629665193183E-4</v>
      </c>
      <c r="P23">
        <f t="shared" si="5"/>
        <v>4.9338895789163872E-4</v>
      </c>
      <c r="Q23">
        <f t="shared" si="6"/>
        <v>6.767459731391788E-4</v>
      </c>
      <c r="R23">
        <f>-$N$4*2*PI()*((E23+D23)/2) *(($D$8-$C$8)/LN(E23/D23))*1/((D23+E23)/2)</f>
        <v>1293781.4249677968</v>
      </c>
      <c r="S23">
        <f t="shared" si="7"/>
        <v>29603.18656308698</v>
      </c>
    </row>
    <row r="24" spans="1:19" x14ac:dyDescent="0.25">
      <c r="A24" s="1"/>
      <c r="B24" s="10" t="s">
        <v>36</v>
      </c>
      <c r="C24" s="9">
        <v>250</v>
      </c>
      <c r="D24" s="9">
        <f t="shared" si="0"/>
        <v>0.125</v>
      </c>
      <c r="E24" s="9">
        <f t="shared" si="1"/>
        <v>0.128</v>
      </c>
      <c r="F24" s="10">
        <v>191</v>
      </c>
      <c r="G24" s="10">
        <f>(PI()*((C24)*(10^(-3)))^2)/4</f>
        <v>4.9087385212340517E-2</v>
      </c>
      <c r="H24" s="10">
        <f>2*PI()*((C24*10^(-3))/2)*F24</f>
        <v>150.01104920891262</v>
      </c>
      <c r="I24">
        <f t="shared" si="2"/>
        <v>151.81118179941956</v>
      </c>
      <c r="J24">
        <f t="shared" si="3"/>
        <v>181.81339164120209</v>
      </c>
      <c r="K24" s="10">
        <f>G24*$B$8*3600</f>
        <v>3534.2917352885174</v>
      </c>
      <c r="L24" s="10">
        <f t="shared" si="4"/>
        <v>0.98174770424681035</v>
      </c>
      <c r="M24" s="10">
        <f>$E$8*G24*$B$8</f>
        <v>1.0680974299551687</v>
      </c>
      <c r="N24" s="14">
        <f>(LN(E24/D24))/(2*PI()*$N$4*F24)</f>
        <v>3.9524632922684391E-7</v>
      </c>
      <c r="O24" s="14">
        <f>1/($K$4*H24)</f>
        <v>2.468953935883581E-4</v>
      </c>
      <c r="P24">
        <f t="shared" si="5"/>
        <v>4.9338895789163872E-4</v>
      </c>
      <c r="Q24" s="14">
        <f t="shared" si="6"/>
        <v>7.4067959780922373E-4</v>
      </c>
      <c r="R24" s="14">
        <f>-$N$4*2*PI()*((E24+D24)/2) *(($D$8-$C$8)/LN(E24/D24))*1/((D24+E24)/2)</f>
        <v>927249.96918698179</v>
      </c>
      <c r="S24">
        <f t="shared" si="7"/>
        <v>27052.228843829158</v>
      </c>
    </row>
    <row r="25" spans="1:19" x14ac:dyDescent="0.25">
      <c r="A25" s="1"/>
      <c r="B25" s="13"/>
      <c r="C25" s="13"/>
      <c r="D25" s="13"/>
      <c r="E25" s="13"/>
      <c r="F25" s="13"/>
      <c r="G25" s="13"/>
      <c r="H25" s="13"/>
      <c r="I25">
        <f t="shared" si="2"/>
        <v>0</v>
      </c>
      <c r="J25">
        <f t="shared" si="3"/>
        <v>0</v>
      </c>
      <c r="K25" s="13"/>
      <c r="L25" s="13"/>
      <c r="M25" s="13"/>
      <c r="N25" s="30"/>
      <c r="O25" s="30"/>
      <c r="P25">
        <f t="shared" si="5"/>
        <v>4.9338895789163872E-4</v>
      </c>
      <c r="Q25" s="30"/>
      <c r="R25" s="30"/>
    </row>
    <row r="26" spans="1:19" x14ac:dyDescent="0.25">
      <c r="A26" s="1"/>
      <c r="B26" t="s">
        <v>37</v>
      </c>
      <c r="C26" s="9">
        <v>350</v>
      </c>
      <c r="D26" s="9">
        <f t="shared" si="0"/>
        <v>0.17500000000000002</v>
      </c>
      <c r="E26" s="9">
        <f t="shared" si="1"/>
        <v>0.17799999999999999</v>
      </c>
      <c r="F26">
        <v>140</v>
      </c>
      <c r="G26" s="1">
        <f>(PI()*((C26)*(10^(-3)))^2)/4</f>
        <v>9.6211275016187439E-2</v>
      </c>
      <c r="H26">
        <f>2*PI()*((C26*10^(-3))/2)*F26</f>
        <v>153.93804002589985</v>
      </c>
      <c r="I26">
        <f t="shared" si="2"/>
        <v>155.25750894040755</v>
      </c>
      <c r="J26">
        <f t="shared" si="3"/>
        <v>177.24865751553614</v>
      </c>
      <c r="K26" s="1">
        <f>G26*$B$8*3600</f>
        <v>6927.2118011654957</v>
      </c>
      <c r="L26">
        <f t="shared" si="4"/>
        <v>1.9242255003237487</v>
      </c>
      <c r="M26" s="1">
        <f>$E$8*G26*$B$8</f>
        <v>2.0934709627121313</v>
      </c>
      <c r="N26">
        <f>(LN(E26/D26))/(2*PI()*$N$4*F26)</f>
        <v>3.8646404280571995E-7</v>
      </c>
      <c r="O26">
        <f>1/($K$4*H26)</f>
        <v>2.4059704171110408E-4</v>
      </c>
      <c r="P26">
        <f t="shared" si="5"/>
        <v>4.9338895789163872E-4</v>
      </c>
      <c r="Q26">
        <f t="shared" si="6"/>
        <v>7.3437246364554845E-4</v>
      </c>
      <c r="R26">
        <f>-$N$4*2*PI()*((E26+D26)/2) *(($D$8-$C$8)/LN(E26/D26))*1/((D26+E26)/2)</f>
        <v>1293781.4249677968</v>
      </c>
      <c r="S26">
        <f t="shared" si="7"/>
        <v>27284.13661334282</v>
      </c>
    </row>
    <row r="27" spans="1:19" x14ac:dyDescent="0.25">
      <c r="A27" s="1"/>
      <c r="B27" s="10" t="s">
        <v>38</v>
      </c>
      <c r="C27" s="9">
        <v>400</v>
      </c>
      <c r="D27" s="9">
        <f t="shared" si="0"/>
        <v>0.2</v>
      </c>
      <c r="E27" s="9">
        <f t="shared" si="1"/>
        <v>0.20300000000000001</v>
      </c>
      <c r="F27" s="10">
        <v>125</v>
      </c>
      <c r="G27" s="10">
        <f>(PI()*((C27)*(10^(-3)))^2)/4</f>
        <v>0.12566370614359174</v>
      </c>
      <c r="H27" s="10">
        <f>2*PI()*((C27*10^(-3))/2)*F27</f>
        <v>157.07963267948966</v>
      </c>
      <c r="I27">
        <f t="shared" si="2"/>
        <v>158.25772992458585</v>
      </c>
      <c r="J27">
        <f t="shared" si="3"/>
        <v>177.89268400952204</v>
      </c>
      <c r="K27" s="10">
        <f>G27*$B$8*3600</f>
        <v>9047.7868423386044</v>
      </c>
      <c r="L27" s="10">
        <f t="shared" si="4"/>
        <v>2.5132741228718345</v>
      </c>
      <c r="M27" s="10">
        <f>$E$8*G27*$B$8</f>
        <v>2.7343294206852327</v>
      </c>
      <c r="N27" s="14">
        <f>(LN(E27/D27))/(2*PI()*$N$4*F27)</f>
        <v>3.7913540386562431E-7</v>
      </c>
      <c r="O27" s="14">
        <f>1/($K$4*H27)</f>
        <v>2.3578510087688195E-4</v>
      </c>
      <c r="P27">
        <f t="shared" si="5"/>
        <v>4.9338895789163872E-4</v>
      </c>
      <c r="Q27" s="14">
        <f t="shared" si="6"/>
        <v>7.2955319417238626E-4</v>
      </c>
      <c r="R27" s="14">
        <f>-$N$4*2*PI()*((E27+D27)/2) *(($D$8-$C$8)/LN(E27/D27))*1/((D27+E27)/2)</f>
        <v>1477044.8612561619</v>
      </c>
      <c r="S27">
        <f t="shared" si="7"/>
        <v>27464.0393870638</v>
      </c>
    </row>
    <row r="28" spans="1:19" x14ac:dyDescent="0.25">
      <c r="A28" s="1"/>
      <c r="B28" t="s">
        <v>39</v>
      </c>
      <c r="C28" s="9">
        <v>350</v>
      </c>
      <c r="D28" s="9">
        <f t="shared" si="0"/>
        <v>0.17500000000000002</v>
      </c>
      <c r="E28" s="9">
        <f t="shared" si="1"/>
        <v>0.17799999999999999</v>
      </c>
      <c r="F28">
        <v>120</v>
      </c>
      <c r="G28" s="1">
        <f>(PI()*((C28)*(10^(-3)))^2)/4</f>
        <v>9.6211275016187439E-2</v>
      </c>
      <c r="H28">
        <f>2*PI()*((C28*10^(-3))/2)*F28</f>
        <v>131.94689145077132</v>
      </c>
      <c r="I28">
        <f t="shared" si="2"/>
        <v>133.07786480606362</v>
      </c>
      <c r="J28">
        <f t="shared" si="3"/>
        <v>151.9274207276024</v>
      </c>
      <c r="K28" s="1">
        <f>G28*$B$8*3600</f>
        <v>6927.2118011654957</v>
      </c>
      <c r="L28">
        <f t="shared" si="4"/>
        <v>1.9242255003237487</v>
      </c>
      <c r="M28" s="1">
        <f>$E$8*G28*$B$8</f>
        <v>2.0934709627121313</v>
      </c>
      <c r="N28">
        <f>(LN(E28/D28))/(2*PI()*$N$4*F28)</f>
        <v>4.5087471660667334E-7</v>
      </c>
      <c r="O28">
        <f>1/($K$4*H28)</f>
        <v>2.8069654866295473E-4</v>
      </c>
      <c r="P28">
        <f t="shared" si="5"/>
        <v>4.9338895789163872E-4</v>
      </c>
      <c r="Q28">
        <f t="shared" si="6"/>
        <v>7.7453638127120009E-4</v>
      </c>
      <c r="R28">
        <f>-$N$4*2*PI()*((E28+D28)/2) *(($D$8-$C$8)/LN(E28/D28))*1/((D28+E28)/2)</f>
        <v>1293781.4249677968</v>
      </c>
      <c r="S28">
        <f t="shared" si="7"/>
        <v>25871.898730147706</v>
      </c>
    </row>
    <row r="29" spans="1:19" x14ac:dyDescent="0.25">
      <c r="A29" s="1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30"/>
      <c r="O29" s="30"/>
      <c r="P29" s="30"/>
      <c r="Q29" s="30"/>
      <c r="R29" s="30"/>
    </row>
    <row r="30" spans="1:19" x14ac:dyDescent="0.25">
      <c r="A30" s="1"/>
      <c r="C30" s="1"/>
      <c r="D30" s="1"/>
      <c r="E30" s="1"/>
      <c r="K30" s="1"/>
    </row>
    <row r="31" spans="1:19" x14ac:dyDescent="0.25">
      <c r="A31" s="1"/>
      <c r="B31" s="3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9" x14ac:dyDescent="0.25">
      <c r="B32" s="3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2:18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 x14ac:dyDescent="0.25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2:18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2:18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2:18" x14ac:dyDescent="0.25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2:18" x14ac:dyDescent="0.25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2:18" x14ac:dyDescent="0.25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2:18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18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</row>
    <row r="43" spans="2:18" x14ac:dyDescent="0.25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</row>
    <row r="44" spans="2:18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</row>
    <row r="45" spans="2:18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</row>
    <row r="46" spans="2:18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</row>
    <row r="47" spans="2:18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2:18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3" x14ac:dyDescent="0.25">
      <c r="C49" s="1"/>
    </row>
    <row r="50" spans="2:3" x14ac:dyDescent="0.25">
      <c r="C50" s="1"/>
    </row>
    <row r="51" spans="2:3" x14ac:dyDescent="0.25">
      <c r="C51" s="1"/>
    </row>
    <row r="52" spans="2:3" x14ac:dyDescent="0.25">
      <c r="C52" s="1"/>
    </row>
    <row r="55" spans="2:3" x14ac:dyDescent="0.25">
      <c r="B55" s="31"/>
      <c r="C55" s="1"/>
    </row>
    <row r="56" spans="2:3" x14ac:dyDescent="0.25">
      <c r="B56" s="1"/>
      <c r="C56" s="1"/>
    </row>
    <row r="57" spans="2:3" x14ac:dyDescent="0.25">
      <c r="B57" s="1"/>
      <c r="C57" s="1"/>
    </row>
    <row r="58" spans="2:3" x14ac:dyDescent="0.25">
      <c r="B58" s="1"/>
      <c r="C58" s="1"/>
    </row>
    <row r="59" spans="2:3" x14ac:dyDescent="0.25">
      <c r="B59" s="1"/>
      <c r="C59" s="1"/>
    </row>
    <row r="60" spans="2:3" x14ac:dyDescent="0.25">
      <c r="B60" s="1"/>
      <c r="C60" s="1"/>
    </row>
    <row r="61" spans="2:3" x14ac:dyDescent="0.25">
      <c r="B61" s="1"/>
      <c r="C61" s="1"/>
    </row>
    <row r="62" spans="2:3" x14ac:dyDescent="0.25">
      <c r="B62" s="1"/>
      <c r="C62" s="1"/>
    </row>
    <row r="63" spans="2:3" x14ac:dyDescent="0.25">
      <c r="B63" s="1"/>
      <c r="C63" s="1"/>
    </row>
    <row r="64" spans="2:3" x14ac:dyDescent="0.25">
      <c r="B64" s="1"/>
      <c r="C64" s="1"/>
    </row>
    <row r="65" spans="2:3" x14ac:dyDescent="0.25">
      <c r="B65" s="1"/>
      <c r="C65" s="1"/>
    </row>
    <row r="66" spans="2:3" x14ac:dyDescent="0.25">
      <c r="B66" s="1"/>
      <c r="C66" s="1"/>
    </row>
    <row r="67" spans="2:3" x14ac:dyDescent="0.25">
      <c r="B67" s="1"/>
      <c r="C67" s="1"/>
    </row>
    <row r="68" spans="2:3" x14ac:dyDescent="0.25">
      <c r="B68" s="1"/>
      <c r="C68" s="1"/>
    </row>
    <row r="69" spans="2:3" x14ac:dyDescent="0.25">
      <c r="B69" s="1"/>
      <c r="C69" s="1"/>
    </row>
    <row r="70" spans="2:3" x14ac:dyDescent="0.25">
      <c r="B70" s="1"/>
      <c r="C70" s="1"/>
    </row>
    <row r="71" spans="2:3" x14ac:dyDescent="0.25">
      <c r="B71" s="1"/>
      <c r="C71" s="1"/>
    </row>
    <row r="72" spans="2:3" x14ac:dyDescent="0.25">
      <c r="B72" s="1"/>
      <c r="C72" s="1"/>
    </row>
  </sheetData>
  <mergeCells count="2">
    <mergeCell ref="A2:B2"/>
    <mergeCell ref="C2:E2"/>
  </mergeCells>
  <pageMargins left="0.7" right="0.7" top="0.75" bottom="0.75" header="0.3" footer="0.3"/>
  <pageSetup paperSize="9" orientation="portrait" horizontalDpi="4294967294" verticalDpi="4294967294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données!$D$6:$D$9</xm:f>
          </x14:formula1>
          <xm:sqref>B8</xm:sqref>
        </x14:dataValidation>
        <x14:dataValidation type="list" allowBlank="1" showInputMessage="1" showErrorMessage="1">
          <x14:formula1>
            <xm:f>données!$G$6:$G$15</xm:f>
          </x14:formula1>
          <xm:sqref>C8</xm:sqref>
        </x14:dataValidation>
        <x14:dataValidation type="list" allowBlank="1" showInputMessage="1" showErrorMessage="1">
          <x14:formula1>
            <xm:f>données!$C$6:$C$12</xm:f>
          </x14:formula1>
          <xm:sqref>D8</xm:sqref>
        </x14:dataValidation>
        <x14:dataValidation type="list" allowBlank="1" showInputMessage="1" showErrorMessage="1">
          <x14:formula1>
            <xm:f>données!$B$6:$B$10</xm:f>
          </x14:formula1>
          <xm:sqref>C14:C30 C56:C71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9"/>
  <sheetViews>
    <sheetView topLeftCell="D1" workbookViewId="0">
      <selection activeCell="I15" sqref="I15"/>
    </sheetView>
  </sheetViews>
  <sheetFormatPr baseColWidth="10" defaultRowHeight="15" x14ac:dyDescent="0.25"/>
  <cols>
    <col min="2" max="2" width="24" customWidth="1"/>
    <col min="3" max="3" width="22.140625" customWidth="1"/>
    <col min="4" max="4" width="29" customWidth="1"/>
    <col min="5" max="5" width="27.5703125" customWidth="1"/>
    <col min="6" max="6" width="40.28515625" customWidth="1"/>
    <col min="7" max="7" width="23.5703125" customWidth="1"/>
    <col min="8" max="8" width="31.140625" customWidth="1"/>
    <col min="9" max="9" width="25.85546875" customWidth="1"/>
    <col min="10" max="10" width="22.5703125" customWidth="1"/>
    <col min="11" max="11" width="24.7109375" customWidth="1"/>
  </cols>
  <sheetData>
    <row r="2" spans="1:14" ht="15.75" x14ac:dyDescent="0.25">
      <c r="A2" s="34" t="s">
        <v>0</v>
      </c>
      <c r="B2" s="34"/>
      <c r="C2" s="35" t="s">
        <v>70</v>
      </c>
      <c r="D2" s="35"/>
      <c r="E2" s="35"/>
    </row>
    <row r="3" spans="1:14" x14ac:dyDescent="0.25">
      <c r="B3" s="2"/>
      <c r="C3" s="2"/>
      <c r="D3" s="2"/>
    </row>
    <row r="4" spans="1:14" ht="15.75" x14ac:dyDescent="0.25">
      <c r="A4" s="6" t="s">
        <v>4</v>
      </c>
      <c r="B4" s="2"/>
      <c r="C4" s="2" t="s">
        <v>5</v>
      </c>
      <c r="D4" s="2" t="s">
        <v>6</v>
      </c>
      <c r="E4" s="2" t="s">
        <v>7</v>
      </c>
    </row>
    <row r="7" spans="1:14" x14ac:dyDescent="0.25">
      <c r="B7" s="3" t="s">
        <v>13</v>
      </c>
      <c r="C7" s="3" t="s">
        <v>71</v>
      </c>
      <c r="D7" s="3" t="s">
        <v>72</v>
      </c>
      <c r="E7" s="3" t="s">
        <v>73</v>
      </c>
      <c r="F7" s="3" t="s">
        <v>16</v>
      </c>
      <c r="G7" s="3" t="s">
        <v>74</v>
      </c>
      <c r="H7" s="3" t="s">
        <v>79</v>
      </c>
      <c r="I7" s="3" t="s">
        <v>78</v>
      </c>
      <c r="J7" s="3" t="s">
        <v>80</v>
      </c>
      <c r="K7" s="1"/>
    </row>
    <row r="8" spans="1:14" x14ac:dyDescent="0.25">
      <c r="B8">
        <f>[1]FD1!B7</f>
        <v>20</v>
      </c>
      <c r="C8">
        <v>20</v>
      </c>
      <c r="D8">
        <f>IF(C8=20,[1]ressource!I6,IF(C8=50,[1]ressource!I7,IF(C8=100,[1]ressource!I8,IF(C8=150,[1]ressource!I9,IF(C8=200,[1]ressource!I10,IF(C8=250,[1]ressource!I11,IF(C8=300,[1]ressource!I12,IF(C8=350,[1]ressource!I13,IF(C8=400,[1]ressource!I14,IF(C8=450,[1]ressource!I15,FALSE))))))))))</f>
        <v>1.8154951198193598E-5</v>
      </c>
      <c r="E8">
        <v>157000</v>
      </c>
      <c r="F8">
        <f>IF(C8=20,données!I6,IF(C8=50,données!I7,IF(C8=100,données!I8,IF(C8=150,données!I9,IF(C8=200,données!I10,IF(C8=250,données!I11,IF(C8=300,données!I12,IF(C8='[2]350données'!I13,IF(C8=400,données!I14,IF(C8=450,données!I15,FALSE))))))))))</f>
        <v>1.1993498293515359</v>
      </c>
      <c r="G8">
        <v>9.81</v>
      </c>
      <c r="H8">
        <v>1000</v>
      </c>
      <c r="I8">
        <v>2.6200000000000001E-2</v>
      </c>
      <c r="J8">
        <f>($D$8*$H$8)/$I$8</f>
        <v>0.69293706863334348</v>
      </c>
    </row>
    <row r="12" spans="1:14" x14ac:dyDescent="0.25">
      <c r="B12" s="8"/>
    </row>
    <row r="13" spans="1:14" x14ac:dyDescent="0.25">
      <c r="B13" s="8" t="s">
        <v>20</v>
      </c>
      <c r="C13" s="9" t="s">
        <v>21</v>
      </c>
      <c r="D13" s="10" t="s">
        <v>22</v>
      </c>
      <c r="E13" s="10" t="s">
        <v>75</v>
      </c>
      <c r="F13" s="3" t="s">
        <v>23</v>
      </c>
      <c r="G13" s="3" t="s">
        <v>25</v>
      </c>
      <c r="H13" t="s">
        <v>76</v>
      </c>
      <c r="I13" s="1" t="s">
        <v>77</v>
      </c>
      <c r="J13" s="1" t="s">
        <v>81</v>
      </c>
      <c r="K13" s="1" t="s">
        <v>82</v>
      </c>
      <c r="L13" s="1"/>
      <c r="M13" s="1"/>
      <c r="N13" s="1"/>
    </row>
    <row r="14" spans="1:14" x14ac:dyDescent="0.25">
      <c r="B14" t="s">
        <v>29</v>
      </c>
      <c r="C14" s="9">
        <f>[1]FD1!C18</f>
        <v>250</v>
      </c>
      <c r="D14" s="11">
        <v>170</v>
      </c>
      <c r="E14" s="1">
        <f>($F$8*$B$8*(C14*10^(-3)))/$D$8</f>
        <v>330309.29586604179</v>
      </c>
      <c r="F14" s="11">
        <f>(PI()*((C14)*(10^(-3)))^2)/4</f>
        <v>4.9087385212340517E-2</v>
      </c>
      <c r="G14" s="11">
        <f>F14*$B$8*3600</f>
        <v>3534.2917352885174</v>
      </c>
      <c r="H14">
        <f>2*PI()*((C14/2)*10^(-3))</f>
        <v>0.78539816339744828</v>
      </c>
      <c r="I14" s="1">
        <f>4*F14/H14</f>
        <v>0.25</v>
      </c>
      <c r="J14" s="1">
        <f>0.023*POWER(E14,0.8)*POWER($J$8,0.33)</f>
        <v>530.02142469837236</v>
      </c>
      <c r="K14" s="1">
        <f>(J14*$I$8)/(C14*10^(-3))</f>
        <v>55.546245308389423</v>
      </c>
      <c r="L14" s="1"/>
      <c r="M14" s="1"/>
      <c r="N14" s="1"/>
    </row>
    <row r="15" spans="1:14" x14ac:dyDescent="0.25">
      <c r="B15" s="12" t="s">
        <v>30</v>
      </c>
      <c r="C15" s="9">
        <f>[1]FD1!C19</f>
        <v>250</v>
      </c>
      <c r="D15" s="10">
        <v>190</v>
      </c>
      <c r="E15" s="1">
        <f t="shared" ref="E15:E28" si="0">($F$8*$B$8*(C15*10^(-3)))/$D$8</f>
        <v>330309.29586604179</v>
      </c>
      <c r="F15" s="10">
        <f>(PI()*((C15)*(10^(-3)))^2)/4</f>
        <v>4.9087385212340517E-2</v>
      </c>
      <c r="G15" s="10">
        <f t="shared" ref="G15:G21" si="1">F15*$B$8*3600</f>
        <v>3534.2917352885174</v>
      </c>
      <c r="H15">
        <f t="shared" ref="H15:H28" si="2">2*PI()*((C15/2)*10^(-3))</f>
        <v>0.78539816339744828</v>
      </c>
      <c r="I15" s="1">
        <f t="shared" ref="I15:I28" si="3">4*F15/H15</f>
        <v>0.25</v>
      </c>
      <c r="J15" s="1">
        <f t="shared" ref="J15:J28" si="4">0.023*POWER(E15,0.8)*POWER($J$8,0.33)</f>
        <v>530.02142469837236</v>
      </c>
      <c r="K15" s="1">
        <f t="shared" ref="K15:K28" si="5">(J15*$I$8)/(C15*10^(-3))</f>
        <v>55.546245308389423</v>
      </c>
      <c r="L15" s="1"/>
      <c r="M15" s="1"/>
      <c r="N15" s="1"/>
    </row>
    <row r="16" spans="1:14" x14ac:dyDescent="0.25">
      <c r="B16" s="13"/>
      <c r="C16" s="13"/>
      <c r="D16" s="13"/>
      <c r="E16" s="1">
        <f t="shared" si="0"/>
        <v>0</v>
      </c>
      <c r="F16" s="13"/>
      <c r="G16" s="13"/>
      <c r="I16" s="1"/>
      <c r="J16" s="1"/>
      <c r="K16" s="1"/>
      <c r="L16" s="1"/>
      <c r="M16" s="1"/>
      <c r="N16" s="1"/>
    </row>
    <row r="17" spans="2:14" x14ac:dyDescent="0.25">
      <c r="B17" t="s">
        <v>31</v>
      </c>
      <c r="C17" s="9">
        <f>[1]FD1!C21</f>
        <v>250</v>
      </c>
      <c r="D17">
        <v>145</v>
      </c>
      <c r="E17" s="1">
        <f t="shared" si="0"/>
        <v>330309.29586604179</v>
      </c>
      <c r="F17" s="11">
        <f>(PI()*((C17)*(10^(-3)))^2)/4</f>
        <v>4.9087385212340517E-2</v>
      </c>
      <c r="G17" s="11">
        <f t="shared" si="1"/>
        <v>3534.2917352885174</v>
      </c>
      <c r="H17">
        <f t="shared" si="2"/>
        <v>0.78539816339744828</v>
      </c>
      <c r="I17" s="1">
        <f t="shared" si="3"/>
        <v>0.25</v>
      </c>
      <c r="J17" s="1">
        <f t="shared" si="4"/>
        <v>530.02142469837236</v>
      </c>
      <c r="K17" s="1">
        <f t="shared" si="5"/>
        <v>55.546245308389423</v>
      </c>
      <c r="L17" s="1"/>
      <c r="M17" s="1"/>
      <c r="N17" s="1"/>
    </row>
    <row r="18" spans="2:14" x14ac:dyDescent="0.25">
      <c r="B18" s="12" t="s">
        <v>32</v>
      </c>
      <c r="C18" s="9">
        <f>[1]FD1!C22</f>
        <v>250</v>
      </c>
      <c r="D18" s="10">
        <v>172</v>
      </c>
      <c r="E18" s="1">
        <f t="shared" si="0"/>
        <v>330309.29586604179</v>
      </c>
      <c r="F18" s="10">
        <f>(PI()*((C18)*(10^(-3)))^2)/4</f>
        <v>4.9087385212340517E-2</v>
      </c>
      <c r="G18" s="10">
        <f t="shared" si="1"/>
        <v>3534.2917352885174</v>
      </c>
      <c r="H18">
        <f t="shared" si="2"/>
        <v>0.78539816339744828</v>
      </c>
      <c r="I18" s="1">
        <f t="shared" si="3"/>
        <v>0.25</v>
      </c>
      <c r="J18" s="1">
        <f t="shared" si="4"/>
        <v>530.02142469837236</v>
      </c>
      <c r="K18" s="1">
        <f t="shared" si="5"/>
        <v>55.546245308389423</v>
      </c>
      <c r="L18" s="1"/>
      <c r="M18" s="1"/>
      <c r="N18" s="1"/>
    </row>
    <row r="19" spans="2:14" x14ac:dyDescent="0.25">
      <c r="B19" s="13"/>
      <c r="C19" s="13"/>
      <c r="D19" s="13"/>
      <c r="E19" s="1">
        <f t="shared" si="0"/>
        <v>0</v>
      </c>
      <c r="F19" s="13"/>
      <c r="G19" s="13"/>
      <c r="I19" s="1"/>
      <c r="J19" s="1"/>
      <c r="K19" s="1"/>
      <c r="L19" s="1"/>
      <c r="M19" s="1"/>
      <c r="N19" s="1"/>
    </row>
    <row r="20" spans="2:14" x14ac:dyDescent="0.25">
      <c r="B20" t="s">
        <v>33</v>
      </c>
      <c r="C20" s="9">
        <f>[1]FD1!C24</f>
        <v>250</v>
      </c>
      <c r="D20">
        <v>120</v>
      </c>
      <c r="E20" s="1">
        <f t="shared" si="0"/>
        <v>330309.29586604179</v>
      </c>
      <c r="F20" s="11">
        <f>(PI()*((C20)*(10^(-3)))^2)/4</f>
        <v>4.9087385212340517E-2</v>
      </c>
      <c r="G20" s="11">
        <f t="shared" si="1"/>
        <v>3534.2917352885174</v>
      </c>
      <c r="H20">
        <f t="shared" si="2"/>
        <v>0.78539816339744828</v>
      </c>
      <c r="I20" s="1">
        <f t="shared" si="3"/>
        <v>0.25</v>
      </c>
      <c r="J20" s="1">
        <f t="shared" si="4"/>
        <v>530.02142469837236</v>
      </c>
      <c r="K20" s="1">
        <f t="shared" si="5"/>
        <v>55.546245308389423</v>
      </c>
      <c r="L20" s="1"/>
      <c r="M20" s="1"/>
      <c r="N20" s="1"/>
    </row>
    <row r="21" spans="2:14" x14ac:dyDescent="0.25">
      <c r="B21" s="12" t="s">
        <v>34</v>
      </c>
      <c r="C21" s="9">
        <f>[1]FD1!C25</f>
        <v>250</v>
      </c>
      <c r="D21" s="10">
        <v>140</v>
      </c>
      <c r="E21" s="1">
        <f t="shared" si="0"/>
        <v>330309.29586604179</v>
      </c>
      <c r="F21" s="10">
        <f>(PI()*((C21)*(10^(-3)))^2)/4</f>
        <v>4.9087385212340517E-2</v>
      </c>
      <c r="G21" s="10">
        <f t="shared" si="1"/>
        <v>3534.2917352885174</v>
      </c>
      <c r="H21">
        <f t="shared" si="2"/>
        <v>0.78539816339744828</v>
      </c>
      <c r="I21" s="1">
        <f t="shared" si="3"/>
        <v>0.25</v>
      </c>
      <c r="J21" s="1">
        <f t="shared" si="4"/>
        <v>530.02142469837236</v>
      </c>
      <c r="K21" s="1">
        <f t="shared" si="5"/>
        <v>55.546245308389423</v>
      </c>
      <c r="L21" s="1"/>
      <c r="M21" s="1"/>
      <c r="N21" s="1"/>
    </row>
    <row r="22" spans="2:14" x14ac:dyDescent="0.25">
      <c r="B22" s="13"/>
      <c r="C22" s="13"/>
      <c r="D22" s="13"/>
      <c r="E22" s="1">
        <f t="shared" si="0"/>
        <v>0</v>
      </c>
      <c r="F22" s="13"/>
      <c r="G22" s="13"/>
      <c r="I22" s="1"/>
      <c r="J22" s="1"/>
      <c r="K22" s="1"/>
      <c r="L22" s="1"/>
      <c r="M22" s="1"/>
      <c r="N22" s="1"/>
    </row>
    <row r="23" spans="2:14" x14ac:dyDescent="0.25">
      <c r="B23" t="s">
        <v>35</v>
      </c>
      <c r="C23" s="1">
        <f>[1]FD1!C27</f>
        <v>350</v>
      </c>
      <c r="D23">
        <v>184</v>
      </c>
      <c r="E23" s="1">
        <f t="shared" si="0"/>
        <v>462433.01421245863</v>
      </c>
      <c r="F23" s="1">
        <f>(PI()*((C23)*(10^(-3)))^2)/4</f>
        <v>9.6211275016187439E-2</v>
      </c>
      <c r="G23" s="1">
        <f>F23*$B$8*3600</f>
        <v>6927.2118011654957</v>
      </c>
      <c r="H23">
        <f t="shared" si="2"/>
        <v>1.0995574287564276</v>
      </c>
      <c r="I23" s="1">
        <f t="shared" si="3"/>
        <v>0.35000000000000009</v>
      </c>
      <c r="J23" s="1">
        <f t="shared" si="4"/>
        <v>693.73859062905285</v>
      </c>
      <c r="K23" s="1">
        <f t="shared" si="5"/>
        <v>51.93128878423196</v>
      </c>
      <c r="L23" s="1"/>
      <c r="M23" s="1"/>
      <c r="N23" s="1"/>
    </row>
    <row r="24" spans="2:14" x14ac:dyDescent="0.25">
      <c r="B24" s="10" t="s">
        <v>36</v>
      </c>
      <c r="C24" s="14">
        <f>[1]FD1!C28</f>
        <v>250</v>
      </c>
      <c r="D24" s="10">
        <v>191</v>
      </c>
      <c r="E24" s="1">
        <f t="shared" si="0"/>
        <v>330309.29586604179</v>
      </c>
      <c r="F24" s="10">
        <f>(PI()*((C24)*(10^(-3)))^2)/4</f>
        <v>4.9087385212340517E-2</v>
      </c>
      <c r="G24" s="10">
        <f>F24*$B$8*3600</f>
        <v>3534.2917352885174</v>
      </c>
      <c r="H24">
        <f t="shared" si="2"/>
        <v>0.78539816339744828</v>
      </c>
      <c r="I24" s="1">
        <f t="shared" si="3"/>
        <v>0.25</v>
      </c>
      <c r="J24" s="1">
        <f t="shared" si="4"/>
        <v>530.02142469837236</v>
      </c>
      <c r="K24" s="1">
        <f t="shared" si="5"/>
        <v>55.546245308389423</v>
      </c>
      <c r="L24" s="1"/>
      <c r="M24" s="1"/>
      <c r="N24" s="1"/>
    </row>
    <row r="25" spans="2:14" x14ac:dyDescent="0.25">
      <c r="B25" s="13"/>
      <c r="C25" s="13"/>
      <c r="D25" s="13"/>
      <c r="E25" s="1">
        <f t="shared" si="0"/>
        <v>0</v>
      </c>
      <c r="F25" s="13"/>
      <c r="G25" s="13"/>
      <c r="I25" s="1"/>
      <c r="J25" s="1"/>
      <c r="K25" s="1"/>
      <c r="L25" s="1"/>
      <c r="M25" s="1"/>
      <c r="N25" s="1"/>
    </row>
    <row r="26" spans="2:14" x14ac:dyDescent="0.25">
      <c r="B26" t="s">
        <v>37</v>
      </c>
      <c r="C26" s="1">
        <f>[1]FD1!C30</f>
        <v>350</v>
      </c>
      <c r="D26">
        <v>140</v>
      </c>
      <c r="E26" s="1">
        <f t="shared" si="0"/>
        <v>462433.01421245863</v>
      </c>
      <c r="F26" s="1">
        <f>(PI()*((C26)*(10^(-3)))^2)/4</f>
        <v>9.6211275016187439E-2</v>
      </c>
      <c r="G26" s="1">
        <f>F26*$B$8*3600</f>
        <v>6927.2118011654957</v>
      </c>
      <c r="H26">
        <f t="shared" si="2"/>
        <v>1.0995574287564276</v>
      </c>
      <c r="I26" s="1">
        <f t="shared" si="3"/>
        <v>0.35000000000000009</v>
      </c>
      <c r="J26" s="1">
        <f t="shared" si="4"/>
        <v>693.73859062905285</v>
      </c>
      <c r="K26" s="1">
        <f t="shared" si="5"/>
        <v>51.93128878423196</v>
      </c>
      <c r="L26" s="1"/>
      <c r="M26" s="1"/>
      <c r="N26" s="1"/>
    </row>
    <row r="27" spans="2:14" x14ac:dyDescent="0.25">
      <c r="B27" s="10" t="s">
        <v>38</v>
      </c>
      <c r="C27" s="14">
        <f>[1]FD1!C31</f>
        <v>400</v>
      </c>
      <c r="D27" s="10">
        <v>125</v>
      </c>
      <c r="E27" s="1">
        <f t="shared" si="0"/>
        <v>528494.87338566687</v>
      </c>
      <c r="F27" s="10">
        <f>(PI()*((C27)*(10^(-3)))^2)/4</f>
        <v>0.12566370614359174</v>
      </c>
      <c r="G27" s="10">
        <f>F27*$B$8*3600</f>
        <v>9047.7868423386044</v>
      </c>
      <c r="H27">
        <f t="shared" si="2"/>
        <v>1.2566370614359172</v>
      </c>
      <c r="I27" s="1">
        <f t="shared" si="3"/>
        <v>0.4</v>
      </c>
      <c r="J27" s="1">
        <f t="shared" si="4"/>
        <v>771.95042611419126</v>
      </c>
      <c r="K27" s="1">
        <f t="shared" si="5"/>
        <v>50.562752910479531</v>
      </c>
      <c r="L27" s="1"/>
      <c r="M27" s="1"/>
      <c r="N27" s="1"/>
    </row>
    <row r="28" spans="2:14" x14ac:dyDescent="0.25">
      <c r="B28" t="s">
        <v>39</v>
      </c>
      <c r="C28" s="1">
        <f>[1]FD1!C32</f>
        <v>350</v>
      </c>
      <c r="D28">
        <v>120</v>
      </c>
      <c r="E28" s="1">
        <f t="shared" si="0"/>
        <v>462433.01421245863</v>
      </c>
      <c r="F28" s="1">
        <f>(PI()*((C28)*(10^(-3)))^2)/4</f>
        <v>9.6211275016187439E-2</v>
      </c>
      <c r="G28" s="1">
        <f>F28*$B$8*3600</f>
        <v>6927.2118011654957</v>
      </c>
      <c r="H28">
        <f t="shared" si="2"/>
        <v>1.0995574287564276</v>
      </c>
      <c r="I28" s="1">
        <f t="shared" si="3"/>
        <v>0.35000000000000009</v>
      </c>
      <c r="J28" s="1">
        <f t="shared" si="4"/>
        <v>693.73859062905285</v>
      </c>
      <c r="K28" s="1">
        <f t="shared" si="5"/>
        <v>51.93128878423196</v>
      </c>
      <c r="L28" s="1"/>
      <c r="M28" s="1"/>
      <c r="N28" s="1"/>
    </row>
    <row r="29" spans="2:14" x14ac:dyDescent="0.25">
      <c r="B29" s="13"/>
      <c r="C29" s="13"/>
      <c r="D29" s="13"/>
      <c r="E29" s="13"/>
      <c r="F29" s="13"/>
      <c r="G29" s="13"/>
      <c r="I29" s="1"/>
      <c r="J29" s="1"/>
      <c r="K29" s="1"/>
      <c r="L29" s="1"/>
      <c r="M29" s="1"/>
      <c r="N29" s="1"/>
    </row>
  </sheetData>
  <mergeCells count="2">
    <mergeCell ref="A2:B2"/>
    <mergeCell ref="C2:E2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[alex.xlsx]ressource!#REF!</xm:f>
          </x14:formula1>
          <xm:sqref>C25</xm:sqref>
        </x14:dataValidation>
        <x14:dataValidation type="list" allowBlank="1" showInputMessage="1" showErrorMessage="1">
          <x14:formula1>
            <xm:f>données!$D$6:$D$9</xm:f>
          </x14:formula1>
          <xm:sqref>B8</xm:sqref>
        </x14:dataValidation>
        <x14:dataValidation type="list" allowBlank="1" showInputMessage="1" showErrorMessage="1">
          <x14:formula1>
            <xm:f>données!$G$6:$G$15</xm:f>
          </x14:formula1>
          <xm:sqref>C8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5"/>
  <sheetViews>
    <sheetView workbookViewId="0">
      <selection activeCell="D10" sqref="D10"/>
    </sheetView>
  </sheetViews>
  <sheetFormatPr baseColWidth="10" defaultRowHeight="15" x14ac:dyDescent="0.25"/>
  <cols>
    <col min="2" max="2" width="24" customWidth="1"/>
    <col min="3" max="3" width="22" customWidth="1"/>
    <col min="4" max="4" width="19.28515625" customWidth="1"/>
    <col min="5" max="5" width="19" customWidth="1"/>
    <col min="6" max="6" width="18.140625" customWidth="1"/>
    <col min="7" max="7" width="26.7109375" customWidth="1"/>
    <col min="8" max="8" width="20.140625" customWidth="1"/>
    <col min="9" max="9" width="25.5703125" customWidth="1"/>
    <col min="10" max="10" width="27.7109375" customWidth="1"/>
  </cols>
  <sheetData>
    <row r="3" spans="2:10" ht="15.75" thickBot="1" x14ac:dyDescent="0.3"/>
    <row r="4" spans="2:10" x14ac:dyDescent="0.25">
      <c r="B4" s="19" t="s">
        <v>40</v>
      </c>
      <c r="C4" s="20" t="s">
        <v>41</v>
      </c>
      <c r="D4" s="21" t="s">
        <v>42</v>
      </c>
      <c r="E4" s="20" t="s">
        <v>43</v>
      </c>
      <c r="F4" s="20" t="s">
        <v>44</v>
      </c>
      <c r="G4" s="20" t="s">
        <v>45</v>
      </c>
      <c r="H4" s="20" t="s">
        <v>48</v>
      </c>
      <c r="I4" s="20" t="s">
        <v>46</v>
      </c>
      <c r="J4" s="22" t="s">
        <v>47</v>
      </c>
    </row>
    <row r="5" spans="2:10" x14ac:dyDescent="0.25">
      <c r="B5" s="23" t="s">
        <v>49</v>
      </c>
      <c r="C5" s="17" t="s">
        <v>50</v>
      </c>
      <c r="D5" s="16" t="s">
        <v>51</v>
      </c>
      <c r="E5" s="15" t="s">
        <v>52</v>
      </c>
      <c r="F5" s="15" t="s">
        <v>52</v>
      </c>
      <c r="G5" s="16" t="s">
        <v>50</v>
      </c>
      <c r="H5" s="16" t="s">
        <v>55</v>
      </c>
      <c r="I5" s="18" t="s">
        <v>53</v>
      </c>
      <c r="J5" s="24" t="s">
        <v>54</v>
      </c>
    </row>
    <row r="6" spans="2:10" x14ac:dyDescent="0.25">
      <c r="B6" s="25">
        <v>250</v>
      </c>
      <c r="C6" s="15">
        <v>-20</v>
      </c>
      <c r="D6" s="15">
        <v>20</v>
      </c>
      <c r="E6" s="15">
        <v>20.28</v>
      </c>
      <c r="F6" s="15">
        <v>0.14000000000000001</v>
      </c>
      <c r="G6" s="15">
        <v>20</v>
      </c>
      <c r="H6" s="15">
        <f t="shared" ref="H6:H15" si="0">G6+273</f>
        <v>293</v>
      </c>
      <c r="I6" s="15">
        <f t="shared" ref="I6:I15" si="1">+(E6*32/100+F6*44/100+(100-E6-F6)/100*28)/22.4*273/(273+G6)</f>
        <v>1.1993498293515359</v>
      </c>
      <c r="J6" s="26">
        <f t="shared" ref="J6:J15" si="2">(8.8848)*10^(-15)*POWER(H6,3)-(3.2398)*10^(-11)*POWER(H6,2)+(6.2657)*10^(-8)*H6+2.3543*10^(-6)</f>
        <v>1.8154951198193598E-5</v>
      </c>
    </row>
    <row r="7" spans="2:10" x14ac:dyDescent="0.25">
      <c r="B7" s="25">
        <v>300</v>
      </c>
      <c r="C7" s="15">
        <v>-10</v>
      </c>
      <c r="D7" s="15">
        <v>21</v>
      </c>
      <c r="E7" s="15">
        <v>20.28</v>
      </c>
      <c r="F7" s="15">
        <v>0.14000000000000001</v>
      </c>
      <c r="G7" s="15">
        <v>50</v>
      </c>
      <c r="H7" s="15">
        <f t="shared" si="0"/>
        <v>323</v>
      </c>
      <c r="I7" s="15">
        <f t="shared" si="1"/>
        <v>1.0879551083591332</v>
      </c>
      <c r="J7" s="26">
        <f t="shared" si="2"/>
        <v>1.9511862420641601E-5</v>
      </c>
    </row>
    <row r="8" spans="2:10" x14ac:dyDescent="0.25">
      <c r="B8" s="25">
        <v>350</v>
      </c>
      <c r="C8" s="15">
        <v>0</v>
      </c>
      <c r="D8" s="15">
        <v>22</v>
      </c>
      <c r="E8" s="15">
        <v>20.28</v>
      </c>
      <c r="F8" s="15">
        <v>0.14000000000000001</v>
      </c>
      <c r="G8" s="15">
        <v>100</v>
      </c>
      <c r="H8" s="15">
        <f t="shared" si="0"/>
        <v>373</v>
      </c>
      <c r="I8" s="15">
        <f t="shared" si="1"/>
        <v>0.94211662198391433</v>
      </c>
      <c r="J8" s="26">
        <f t="shared" si="2"/>
        <v>2.1678937393521602E-5</v>
      </c>
    </row>
    <row r="9" spans="2:10" x14ac:dyDescent="0.25">
      <c r="B9" s="25">
        <v>400</v>
      </c>
      <c r="C9" s="15">
        <v>10</v>
      </c>
      <c r="D9" s="15">
        <v>23</v>
      </c>
      <c r="E9" s="15">
        <v>20.28</v>
      </c>
      <c r="F9" s="15">
        <v>0.14000000000000001</v>
      </c>
      <c r="G9" s="15">
        <v>150</v>
      </c>
      <c r="H9" s="15">
        <f t="shared" si="0"/>
        <v>423</v>
      </c>
      <c r="I9" s="15">
        <f t="shared" si="1"/>
        <v>0.8307553191489363</v>
      </c>
      <c r="J9" s="26">
        <f t="shared" si="2"/>
        <v>2.3733732822401602E-5</v>
      </c>
    </row>
    <row r="10" spans="2:10" x14ac:dyDescent="0.25">
      <c r="B10" s="25">
        <v>450</v>
      </c>
      <c r="C10" s="15">
        <v>20</v>
      </c>
      <c r="D10" s="15"/>
      <c r="E10" s="15">
        <v>20.28</v>
      </c>
      <c r="F10" s="15">
        <v>0.14000000000000001</v>
      </c>
      <c r="G10" s="15">
        <v>200</v>
      </c>
      <c r="H10" s="15">
        <f t="shared" si="0"/>
        <v>473</v>
      </c>
      <c r="I10" s="15">
        <f t="shared" si="1"/>
        <v>0.74293763213530661</v>
      </c>
      <c r="J10" s="26">
        <f t="shared" si="2"/>
        <v>2.5682912307281602E-5</v>
      </c>
    </row>
    <row r="11" spans="2:10" x14ac:dyDescent="0.25">
      <c r="B11" s="25"/>
      <c r="C11" s="15">
        <v>30</v>
      </c>
      <c r="D11" s="15"/>
      <c r="E11" s="15">
        <v>20.28</v>
      </c>
      <c r="F11" s="15">
        <v>0.14000000000000001</v>
      </c>
      <c r="G11" s="15">
        <v>250</v>
      </c>
      <c r="H11" s="15">
        <f t="shared" si="0"/>
        <v>523</v>
      </c>
      <c r="I11" s="15">
        <f t="shared" si="1"/>
        <v>0.67191108986615689</v>
      </c>
      <c r="J11" s="26">
        <f t="shared" si="2"/>
        <v>2.7533139448161604E-5</v>
      </c>
    </row>
    <row r="12" spans="2:10" x14ac:dyDescent="0.25">
      <c r="B12" s="25"/>
      <c r="C12" s="15">
        <v>40</v>
      </c>
      <c r="D12" s="15"/>
      <c r="E12" s="15">
        <v>20.28</v>
      </c>
      <c r="F12" s="15">
        <v>0.14000000000000001</v>
      </c>
      <c r="G12" s="15">
        <v>300</v>
      </c>
      <c r="H12" s="15">
        <f t="shared" si="0"/>
        <v>573</v>
      </c>
      <c r="I12" s="15">
        <f t="shared" si="1"/>
        <v>0.61328010471204197</v>
      </c>
      <c r="J12" s="26">
        <f t="shared" si="2"/>
        <v>2.9291077845041605E-5</v>
      </c>
    </row>
    <row r="13" spans="2:10" x14ac:dyDescent="0.25">
      <c r="B13" s="25"/>
      <c r="C13" s="15"/>
      <c r="D13" s="15"/>
      <c r="E13" s="15">
        <v>20.28</v>
      </c>
      <c r="F13" s="15">
        <v>0.14000000000000001</v>
      </c>
      <c r="G13" s="15">
        <v>350</v>
      </c>
      <c r="H13" s="15">
        <f t="shared" si="0"/>
        <v>623</v>
      </c>
      <c r="I13" s="15">
        <f t="shared" si="1"/>
        <v>0.56406019261637241</v>
      </c>
      <c r="J13" s="26">
        <f t="shared" si="2"/>
        <v>3.0963391097921601E-5</v>
      </c>
    </row>
    <row r="14" spans="2:10" x14ac:dyDescent="0.25">
      <c r="B14" s="25"/>
      <c r="C14" s="15"/>
      <c r="D14" s="15"/>
      <c r="E14" s="15">
        <v>20.28</v>
      </c>
      <c r="F14" s="15">
        <v>0.14000000000000001</v>
      </c>
      <c r="G14" s="15">
        <v>400</v>
      </c>
      <c r="H14" s="15">
        <f t="shared" si="0"/>
        <v>673</v>
      </c>
      <c r="I14" s="15">
        <f t="shared" si="1"/>
        <v>0.52215378900445775</v>
      </c>
      <c r="J14" s="26">
        <f t="shared" si="2"/>
        <v>3.2556742806801601E-5</v>
      </c>
    </row>
    <row r="15" spans="2:10" ht="15.75" thickBot="1" x14ac:dyDescent="0.3">
      <c r="B15" s="27"/>
      <c r="C15" s="28"/>
      <c r="D15" s="28"/>
      <c r="E15" s="28">
        <v>20.28</v>
      </c>
      <c r="F15" s="28">
        <v>0.14000000000000001</v>
      </c>
      <c r="G15" s="28">
        <v>450</v>
      </c>
      <c r="H15" s="28">
        <f t="shared" si="0"/>
        <v>723</v>
      </c>
      <c r="I15" s="28">
        <f t="shared" si="1"/>
        <v>0.48604356846473035</v>
      </c>
      <c r="J15" s="29">
        <f t="shared" si="2"/>
        <v>3.4077796571681608E-5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méthode 1</vt:lpstr>
      <vt:lpstr>méthode 2</vt:lpstr>
      <vt:lpstr>méthode 3</vt:lpstr>
      <vt:lpstr>données</vt:lpstr>
    </vt:vector>
  </TitlesOfParts>
  <Company>Constellium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Piquier, Alexandre</dc:creator>
  <cp:lastModifiedBy>Piquier, Alexandre</cp:lastModifiedBy>
  <dcterms:created xsi:type="dcterms:W3CDTF">2021-07-21T13:21:52Z</dcterms:created>
  <dcterms:modified xsi:type="dcterms:W3CDTF">2021-07-23T06:55:04Z</dcterms:modified>
</cp:coreProperties>
</file>