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.gimat\Desktop\"/>
    </mc:Choice>
  </mc:AlternateContent>
  <bookViews>
    <workbookView xWindow="-15" yWindow="-15" windowWidth="6390" windowHeight="9525"/>
  </bookViews>
  <sheets>
    <sheet name="Calculs" sheetId="1" r:id="rId1"/>
    <sheet name="Calculs manuels" sheetId="2" r:id="rId2"/>
  </sheets>
  <definedNames>
    <definedName name="AB">Calculs!$B$8</definedName>
    <definedName name="AH">Calculs!$C$8</definedName>
    <definedName name="alpha">Calculs!$B$77</definedName>
    <definedName name="Fg">Calculs!$L$74</definedName>
    <definedName name="Fh">Calculs!$M$74</definedName>
    <definedName name="g">Calculs!$J$69</definedName>
    <definedName name="Hmax">Calculs!$F$8</definedName>
    <definedName name="Hmin">Calculs!$E$8</definedName>
    <definedName name="Mb1_">Calculs!$D$17</definedName>
    <definedName name="Mb2_">Calculs!$E$17</definedName>
    <definedName name="Mb3_">Calculs!$F$17</definedName>
    <definedName name="Mb4_">Calculs!$G$17</definedName>
    <definedName name="Mc">Calculs!$C$17</definedName>
    <definedName name="Mt">Calculs!$B$17</definedName>
    <definedName name="Pb1_">Calculs!$N$69</definedName>
    <definedName name="Pb2_">Calculs!$O$69</definedName>
    <definedName name="Pb3_">Calculs!$P$69</definedName>
    <definedName name="Pb4_">Calculs!$Q$69</definedName>
    <definedName name="Pc">Calculs!$M$69</definedName>
    <definedName name="PlageDonnees">Calculs!$B$8:$C$8,Calculs!$E$8:$H$8,Calculs!$B$17:$G$17</definedName>
    <definedName name="Pt">Calculs!$L$69</definedName>
    <definedName name="Rg">Calculs!$J$74</definedName>
    <definedName name="Rh">Calculs!$K$74</definedName>
    <definedName name="Xb">Calculs!$F$68</definedName>
    <definedName name="Xe">Calculs!$C$68</definedName>
    <definedName name="Xf">Calculs!$B$68</definedName>
    <definedName name="XFj">Calculs!$C$32</definedName>
    <definedName name="XFk">Calculs!$C$28</definedName>
    <definedName name="Xg">Calculs!$H$68</definedName>
    <definedName name="XGc">Calculs!$H$8</definedName>
    <definedName name="XGt">Calculs!$G$8</definedName>
    <definedName name="Xh">Calculs!$G$68</definedName>
    <definedName name="Xj">Calculs!$E$68</definedName>
    <definedName name="Xk">Calculs!$D$68</definedName>
    <definedName name="XRb">Calculs!$C$34</definedName>
    <definedName name="XRd">Calculs!$C$36</definedName>
    <definedName name="XRe">Calculs!$C$30</definedName>
    <definedName name="XRf">Calculs!$C$26</definedName>
    <definedName name="Yb">Calculs!$F$71</definedName>
    <definedName name="Ye">Calculs!$C$71</definedName>
    <definedName name="Yf">Calculs!$B$71</definedName>
    <definedName name="YFj">Calculs!$C$33</definedName>
    <definedName name="YFk">Calculs!$C$29</definedName>
    <definedName name="Yg">Calculs!$H$71</definedName>
    <definedName name="Yh">Calculs!$G$71</definedName>
    <definedName name="Yj">Calculs!$E$71</definedName>
    <definedName name="Yk">Calculs!$D$71</definedName>
    <definedName name="YRb">Calculs!$C$35</definedName>
    <definedName name="YRd">Calculs!$C$37</definedName>
    <definedName name="YRe">Calculs!$C$31</definedName>
    <definedName name="YRf">Calculs!$C$27</definedName>
  </definedNames>
  <calcPr calcId="152511"/>
</workbook>
</file>

<file path=xl/calcChain.xml><?xml version="1.0" encoding="utf-8"?>
<calcChain xmlns="http://schemas.openxmlformats.org/spreadsheetml/2006/main">
  <c r="C93" i="1" l="1"/>
  <c r="C94" i="1"/>
  <c r="C43" i="1"/>
  <c r="C91" i="1"/>
  <c r="C83" i="1"/>
  <c r="C90" i="1" s="1"/>
  <c r="C87" i="1"/>
  <c r="D86" i="1"/>
  <c r="J45" i="1" l="1"/>
  <c r="I44" i="1"/>
  <c r="C60" i="1" l="1"/>
  <c r="I60" i="1"/>
  <c r="K60" i="1"/>
  <c r="J59" i="1"/>
  <c r="H59" i="1"/>
  <c r="B59" i="1"/>
  <c r="G57" i="1"/>
  <c r="I57" i="1"/>
  <c r="M57" i="1"/>
  <c r="F56" i="1"/>
  <c r="H56" i="1"/>
  <c r="L56" i="1"/>
  <c r="G54" i="1"/>
  <c r="E54" i="1"/>
  <c r="N53" i="1"/>
  <c r="E53" i="1"/>
  <c r="F53" i="1"/>
  <c r="D53" i="1"/>
  <c r="C52" i="1"/>
  <c r="E51" i="1"/>
  <c r="C51" i="1"/>
  <c r="D50" i="1"/>
  <c r="B50" i="1"/>
  <c r="J50" i="1"/>
  <c r="K50" i="1"/>
  <c r="J51" i="1"/>
  <c r="K51" i="1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K59" i="1"/>
  <c r="J60" i="1"/>
  <c r="J61" i="1"/>
  <c r="Q69" i="1"/>
  <c r="N60" i="1" s="1"/>
  <c r="P69" i="1"/>
  <c r="N57" i="1" s="1"/>
  <c r="O69" i="1"/>
  <c r="N69" i="1"/>
  <c r="M69" i="1"/>
  <c r="L69" i="1"/>
  <c r="E71" i="1" l="1"/>
  <c r="D71" i="1"/>
  <c r="B77" i="1"/>
  <c r="C68" i="1" s="1"/>
  <c r="C84" i="1" s="1"/>
  <c r="D55" i="1" l="1"/>
  <c r="D52" i="1"/>
  <c r="G58" i="1"/>
  <c r="G55" i="1"/>
  <c r="H61" i="1"/>
  <c r="H58" i="1"/>
  <c r="F68" i="1"/>
  <c r="H68" i="1"/>
  <c r="D68" i="1"/>
  <c r="B47" i="1" l="1"/>
  <c r="C88" i="1"/>
  <c r="J74" i="1"/>
  <c r="K61" i="1"/>
  <c r="C86" i="1"/>
  <c r="E68" i="1"/>
  <c r="N55" i="1"/>
  <c r="E55" i="1"/>
  <c r="E52" i="1"/>
  <c r="B71" i="1"/>
  <c r="D87" i="1" s="1"/>
  <c r="N56" i="1"/>
  <c r="N59" i="1"/>
  <c r="C50" i="1"/>
  <c r="E50" i="1"/>
  <c r="F50" i="1"/>
  <c r="G50" i="1"/>
  <c r="H50" i="1"/>
  <c r="I50" i="1"/>
  <c r="L50" i="1"/>
  <c r="M50" i="1"/>
  <c r="D51" i="1"/>
  <c r="F51" i="1"/>
  <c r="G51" i="1"/>
  <c r="H51" i="1"/>
  <c r="I51" i="1"/>
  <c r="L51" i="1"/>
  <c r="M51" i="1"/>
  <c r="F52" i="1"/>
  <c r="G52" i="1"/>
  <c r="H52" i="1"/>
  <c r="I52" i="1"/>
  <c r="L52" i="1"/>
  <c r="M52" i="1"/>
  <c r="C53" i="1"/>
  <c r="G53" i="1"/>
  <c r="H53" i="1"/>
  <c r="I53" i="1"/>
  <c r="L53" i="1"/>
  <c r="M53" i="1"/>
  <c r="C54" i="1"/>
  <c r="D54" i="1"/>
  <c r="F54" i="1"/>
  <c r="H54" i="1"/>
  <c r="I54" i="1"/>
  <c r="L54" i="1"/>
  <c r="M54" i="1"/>
  <c r="C55" i="1"/>
  <c r="H55" i="1"/>
  <c r="I55" i="1"/>
  <c r="L55" i="1"/>
  <c r="M55" i="1"/>
  <c r="C56" i="1"/>
  <c r="D56" i="1"/>
  <c r="E56" i="1"/>
  <c r="G56" i="1"/>
  <c r="I56" i="1"/>
  <c r="M56" i="1"/>
  <c r="C57" i="1"/>
  <c r="D57" i="1"/>
  <c r="E57" i="1"/>
  <c r="F57" i="1"/>
  <c r="H57" i="1"/>
  <c r="L57" i="1"/>
  <c r="C58" i="1"/>
  <c r="D58" i="1"/>
  <c r="E58" i="1"/>
  <c r="L58" i="1"/>
  <c r="M58" i="1"/>
  <c r="C59" i="1"/>
  <c r="D59" i="1"/>
  <c r="E59" i="1"/>
  <c r="F59" i="1"/>
  <c r="G59" i="1"/>
  <c r="I59" i="1"/>
  <c r="L59" i="1"/>
  <c r="M59" i="1"/>
  <c r="D60" i="1"/>
  <c r="E60" i="1"/>
  <c r="F60" i="1"/>
  <c r="G60" i="1"/>
  <c r="H60" i="1"/>
  <c r="L60" i="1"/>
  <c r="M60" i="1"/>
  <c r="C61" i="1"/>
  <c r="D61" i="1"/>
  <c r="E61" i="1"/>
  <c r="F61" i="1"/>
  <c r="G61" i="1"/>
  <c r="L61" i="1"/>
  <c r="M61" i="1"/>
  <c r="B58" i="1"/>
  <c r="B60" i="1"/>
  <c r="B51" i="1"/>
  <c r="K74" i="1" l="1"/>
  <c r="D47" i="1" s="1"/>
  <c r="E47" i="1"/>
  <c r="B61" i="1"/>
  <c r="B52" i="1"/>
  <c r="N61" i="1"/>
  <c r="N58" i="1"/>
  <c r="I61" i="1"/>
  <c r="I58" i="1"/>
  <c r="N50" i="1" l="1"/>
  <c r="B53" i="1"/>
  <c r="B54" i="1"/>
  <c r="B55" i="1"/>
  <c r="B56" i="1"/>
  <c r="B57" i="1"/>
  <c r="G71" i="1" l="1"/>
  <c r="D83" i="1" s="1"/>
  <c r="D93" i="1" s="1"/>
  <c r="H71" i="1"/>
  <c r="D88" i="1" s="1"/>
  <c r="D90" i="1" l="1"/>
  <c r="D91" i="1" s="1"/>
  <c r="D94" i="1"/>
  <c r="C77" i="1"/>
  <c r="C71" i="1"/>
  <c r="D84" i="1" s="1"/>
  <c r="F55" i="1" l="1"/>
  <c r="F58" i="1"/>
  <c r="M74" i="1" l="1"/>
  <c r="N54" i="1" l="1"/>
  <c r="O74" i="1"/>
  <c r="L74" i="1"/>
  <c r="N74" i="1"/>
  <c r="N52" i="1" l="1"/>
  <c r="N51" i="1"/>
  <c r="C26" i="1" l="1" a="1"/>
  <c r="C27" i="1" s="1"/>
  <c r="C32" i="1" l="1"/>
  <c r="C30" i="1"/>
  <c r="C33" i="1"/>
  <c r="C34" i="1"/>
  <c r="C39" i="1" s="1"/>
  <c r="C29" i="1"/>
  <c r="M82" i="1" s="1"/>
  <c r="C31" i="1"/>
  <c r="C37" i="1"/>
  <c r="C35" i="1"/>
  <c r="C28" i="1"/>
  <c r="C26" i="1"/>
  <c r="C36" i="1"/>
  <c r="M87" i="1" l="1"/>
  <c r="M89" i="1"/>
  <c r="M83" i="1"/>
  <c r="P57" i="1" a="1"/>
  <c r="P57" i="1" s="1"/>
  <c r="C42" i="1"/>
  <c r="M85" i="1"/>
  <c r="M84" i="1"/>
  <c r="P50" i="1" a="1"/>
  <c r="P50" i="1" s="1"/>
  <c r="P60" i="1" a="1"/>
  <c r="P60" i="1" s="1"/>
  <c r="P53" i="1" a="1"/>
  <c r="P53" i="1" s="1"/>
  <c r="M92" i="1"/>
  <c r="P51" i="1" a="1"/>
  <c r="P51" i="1" s="1"/>
  <c r="M90" i="1"/>
  <c r="P52" i="1" a="1"/>
  <c r="P52" i="1" s="1"/>
  <c r="M81" i="1"/>
  <c r="M86" i="1"/>
  <c r="M91" i="1"/>
  <c r="P54" i="1" a="1"/>
  <c r="P54" i="1" s="1"/>
  <c r="P58" i="1" a="1"/>
  <c r="P58" i="1" s="1"/>
  <c r="P55" i="1" a="1"/>
  <c r="P55" i="1" s="1"/>
  <c r="P56" i="1" a="1"/>
  <c r="P56" i="1" s="1"/>
  <c r="P59" i="1" a="1"/>
  <c r="P59" i="1" s="1"/>
  <c r="P61" i="1" a="1"/>
  <c r="P61" i="1" s="1"/>
  <c r="M88" i="1"/>
</calcChain>
</file>

<file path=xl/sharedStrings.xml><?xml version="1.0" encoding="utf-8"?>
<sst xmlns="http://schemas.openxmlformats.org/spreadsheetml/2006/main" count="197" uniqueCount="128">
  <si>
    <t>XRf</t>
  </si>
  <si>
    <t>YRf</t>
  </si>
  <si>
    <t>XFk</t>
  </si>
  <si>
    <t>YFk</t>
  </si>
  <si>
    <t>XRe</t>
  </si>
  <si>
    <t>YRe</t>
  </si>
  <si>
    <t>XFj</t>
  </si>
  <si>
    <t>YFj</t>
  </si>
  <si>
    <t>Xk</t>
  </si>
  <si>
    <t>Yk</t>
  </si>
  <si>
    <t>Xe</t>
  </si>
  <si>
    <t>Xj</t>
  </si>
  <si>
    <t>Ye</t>
  </si>
  <si>
    <t>Xf</t>
  </si>
  <si>
    <t>Yf</t>
  </si>
  <si>
    <t>Yj</t>
  </si>
  <si>
    <t>Xb</t>
  </si>
  <si>
    <t>Yb</t>
  </si>
  <si>
    <t>Pb1</t>
  </si>
  <si>
    <t>Pb2</t>
  </si>
  <si>
    <t>Pb3</t>
  </si>
  <si>
    <t>Pb4</t>
  </si>
  <si>
    <t>Xg</t>
  </si>
  <si>
    <t>Yg</t>
  </si>
  <si>
    <t>Xh</t>
  </si>
  <si>
    <t>Yh</t>
  </si>
  <si>
    <t>=</t>
  </si>
  <si>
    <t>Coordonnées des points (mm)</t>
  </si>
  <si>
    <t>Résultats</t>
  </si>
  <si>
    <t>Entrez vos valeurs dans les cellules jaunes</t>
  </si>
  <si>
    <t>(mm)</t>
  </si>
  <si>
    <t>(N)</t>
  </si>
  <si>
    <t>(rad)</t>
  </si>
  <si>
    <t>( ° )</t>
  </si>
  <si>
    <t>Points</t>
  </si>
  <si>
    <t>B</t>
  </si>
  <si>
    <t>F</t>
  </si>
  <si>
    <t>G</t>
  </si>
  <si>
    <t>H</t>
  </si>
  <si>
    <t>E</t>
  </si>
  <si>
    <t>D</t>
  </si>
  <si>
    <t>X</t>
  </si>
  <si>
    <t>Y</t>
  </si>
  <si>
    <t>Dessin</t>
  </si>
  <si>
    <t>L'application ne vérifie pas lles limites (hauteur en fonction de la longueur AB ...)</t>
  </si>
  <si>
    <t>Angle α bras AB / Ox</t>
  </si>
  <si>
    <t>Fh</t>
  </si>
  <si>
    <t>Fg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</si>
  <si>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</si>
  <si>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</si>
  <si>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</si>
  <si>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</si>
  <si>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</si>
  <si>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</si>
  <si>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</si>
  <si>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</si>
  <si>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</si>
  <si>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</si>
  <si>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</si>
  <si>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</si>
  <si>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 xml:space="preserve">  N</t>
  </si>
  <si>
    <t>Equations utilisées ci-dessus</t>
  </si>
  <si>
    <t>Animation (hauteur)</t>
  </si>
  <si>
    <t>Vérif 2</t>
  </si>
  <si>
    <t>Vérif 1</t>
  </si>
  <si>
    <t>Rb</t>
  </si>
  <si>
    <t>Rd</t>
  </si>
  <si>
    <t>Table</t>
  </si>
  <si>
    <r>
      <rPr>
        <b/>
        <sz val="10"/>
        <color theme="1"/>
        <rFont val="Arial"/>
        <family val="2"/>
      </rPr>
      <t>Poids (N)</t>
    </r>
    <r>
      <rPr>
        <sz val="10"/>
        <color theme="1"/>
        <rFont val="Arial"/>
        <family val="2"/>
      </rPr>
      <t/>
    </r>
  </si>
  <si>
    <t>Mt</t>
  </si>
  <si>
    <t>Mc</t>
  </si>
  <si>
    <r>
      <t>H</t>
    </r>
    <r>
      <rPr>
        <vertAlign val="superscript"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 xml:space="preserve"> mini</t>
    </r>
  </si>
  <si>
    <r>
      <t>H</t>
    </r>
    <r>
      <rPr>
        <vertAlign val="superscript"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 xml:space="preserve"> maxi</t>
    </r>
  </si>
  <si>
    <t>(kg)</t>
  </si>
  <si>
    <t>Charge</t>
  </si>
  <si>
    <t>XGt</t>
  </si>
  <si>
    <t>XGc</t>
  </si>
  <si>
    <t>Positions</t>
  </si>
  <si>
    <t>Mb1</t>
  </si>
  <si>
    <t>Mb2</t>
  </si>
  <si>
    <t>Mb3</t>
  </si>
  <si>
    <t>Mb4</t>
  </si>
  <si>
    <t>Pour table</t>
  </si>
  <si>
    <t>Pour charge</t>
  </si>
  <si>
    <t>Masses</t>
  </si>
  <si>
    <t>g</t>
  </si>
  <si>
    <t>(m/s/s)</t>
  </si>
  <si>
    <t>Pesanteur</t>
  </si>
  <si>
    <t>Pt</t>
  </si>
  <si>
    <t>Pc</t>
  </si>
  <si>
    <t>Un bras est l'ensemble de
2 joues et 2 entretoises
(poids considéré au milieu)</t>
  </si>
  <si>
    <t>Bras FG</t>
  </si>
  <si>
    <t>Bras HE</t>
  </si>
  <si>
    <t>Bras DE</t>
  </si>
  <si>
    <t>Bras FB</t>
  </si>
  <si>
    <t>Rg</t>
  </si>
  <si>
    <t>Rh</t>
  </si>
  <si>
    <t>Efforts</t>
  </si>
  <si>
    <t>XRb</t>
  </si>
  <si>
    <t>XRd</t>
  </si>
  <si>
    <t>YRb</t>
  </si>
  <si>
    <t>YRd</t>
  </si>
  <si>
    <t>XFk+XRf = 0</t>
  </si>
  <si>
    <t>Fg+YFk+Pb1_+Yrf = 0</t>
  </si>
  <si>
    <t>Xg*Fg+Xk*YFk-Yk*XFk+Xk*Pb1_-Yf*XRf = 0</t>
  </si>
  <si>
    <t>Fh+Pb2_-YFk+Yre = 0</t>
  </si>
  <si>
    <t>XRd+XFj-Xre = 0</t>
  </si>
  <si>
    <t>YRd-YFj+Pb3_-Yre = 0</t>
  </si>
  <si>
    <t>Xj*YFj-Yj*XFj+Xj*Pb3_-Xe*YRe+Ye*Xre = 0</t>
  </si>
  <si>
    <t>-XRf-XFj+XRb = 0</t>
  </si>
  <si>
    <t>-YRf+Pb4_-YFj+Yrb = 0</t>
  </si>
  <si>
    <t>Yf*XRf+Xj*Pb4_-Xj*YFj+Yj*XFj+Xb*Yrb = 0</t>
  </si>
  <si>
    <t>1/2 poids bras</t>
  </si>
  <si>
    <t>à 0</t>
  </si>
  <si>
    <t>à 800</t>
  </si>
  <si>
    <t>en D</t>
  </si>
  <si>
    <t>En B</t>
  </si>
  <si>
    <t>Total</t>
  </si>
  <si>
    <t>Σ réact. sol</t>
  </si>
  <si>
    <t>Poids total</t>
  </si>
  <si>
    <t>Fv</t>
  </si>
  <si>
    <t>FG,HR,DE,FB</t>
  </si>
  <si>
    <t>Bras</t>
  </si>
  <si>
    <t>(négatif = effort vérin en tirant)</t>
  </si>
  <si>
    <t>Hauteur AH
courante</t>
  </si>
  <si>
    <t>doit être = à - poids total</t>
  </si>
  <si>
    <t>Gc</t>
  </si>
  <si>
    <t>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</si>
</sst>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7" x14ac:knownFonts="1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sz val="10"/>
      <color rgb="FF0070C0"/>
      <name val="Arial"/>
      <family val="2"/>
    </font>
    <font>
      <vertAlign val="superscript"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7A1E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NumberForma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2" fontId="0" fillId="0" borderId="0" xfId="0" applyNumberFormat="1" applyAlignment="1">
      <alignment horizontal="center"/>
    </xf>
    <xf numFmtId="0" fontId="3" fillId="0" borderId="0" xfId="0" applyNumberFormat="1" applyFont="1"/>
    <xf numFmtId="0" fontId="3" fillId="0" borderId="0" xfId="0" applyNumberFormat="1" applyFont="1" applyAlignment="1">
      <alignment horizontal="center"/>
    </xf>
    <xf numFmtId="49" fontId="0" fillId="0" borderId="0" xfId="0" applyNumberFormat="1" applyBorder="1" applyAlignment="1">
      <alignment horizontal="center" vertical="center"/>
    </xf>
    <xf numFmtId="49" fontId="0" fillId="5" borderId="0" xfId="0" applyNumberFormat="1" applyFill="1" applyBorder="1" applyAlignment="1">
      <alignment horizontal="center" vertical="center"/>
    </xf>
    <xf numFmtId="49" fontId="0" fillId="6" borderId="0" xfId="0" applyNumberFormat="1" applyFill="1" applyBorder="1" applyAlignment="1">
      <alignment horizontal="center" vertical="center"/>
    </xf>
    <xf numFmtId="49" fontId="0" fillId="7" borderId="0" xfId="0" applyNumberFormat="1" applyFill="1" applyBorder="1" applyAlignment="1">
      <alignment horizontal="center" vertical="center"/>
    </xf>
    <xf numFmtId="49" fontId="0" fillId="8" borderId="0" xfId="0" applyNumberFormat="1" applyFill="1" applyBorder="1" applyAlignment="1">
      <alignment horizontal="center" vertical="center"/>
    </xf>
    <xf numFmtId="49" fontId="0" fillId="3" borderId="0" xfId="0" applyNumberFormat="1" applyFill="1" applyBorder="1" applyAlignment="1">
      <alignment horizontal="center" vertical="center"/>
    </xf>
    <xf numFmtId="49" fontId="0" fillId="9" borderId="0" xfId="0" applyNumberFormat="1" applyFill="1" applyBorder="1" applyAlignment="1">
      <alignment horizontal="center" vertical="center"/>
    </xf>
    <xf numFmtId="2" fontId="0" fillId="4" borderId="0" xfId="0" applyNumberFormat="1" applyFill="1" applyAlignment="1"/>
    <xf numFmtId="0" fontId="3" fillId="0" borderId="3" xfId="0" applyNumberFormat="1" applyFont="1" applyBorder="1" applyAlignment="1">
      <alignment horizontal="center"/>
    </xf>
    <xf numFmtId="0" fontId="4" fillId="0" borderId="5" xfId="0" quotePrefix="1" applyNumberFormat="1" applyFont="1" applyBorder="1" applyAlignment="1">
      <alignment horizontal="center"/>
    </xf>
    <xf numFmtId="0" fontId="3" fillId="0" borderId="4" xfId="0" applyNumberFormat="1" applyFont="1" applyFill="1" applyBorder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0" xfId="0" applyNumberFormat="1" applyFill="1"/>
    <xf numFmtId="0" fontId="0" fillId="4" borderId="0" xfId="0" applyNumberFormat="1" applyFill="1" applyAlignment="1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2" fontId="0" fillId="0" borderId="0" xfId="0" applyNumberFormat="1" applyFill="1" applyAlignment="1">
      <alignment horizontal="center"/>
    </xf>
    <xf numFmtId="0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 applyFill="1" applyAlignment="1">
      <alignment horizontal="center" vertical="center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5" fillId="0" borderId="0" xfId="0" applyNumberFormat="1" applyFont="1" applyAlignment="1">
      <alignment horizontal="right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5" fillId="0" borderId="0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2" xfId="0" applyNumberForma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1" xfId="0" applyNumberFormat="1" applyFill="1" applyBorder="1" applyAlignment="1"/>
    <xf numFmtId="165" fontId="0" fillId="0" borderId="0" xfId="0" applyNumberFormat="1" applyFill="1"/>
    <xf numFmtId="0" fontId="3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2" fillId="0" borderId="2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vertical="center"/>
    </xf>
    <xf numFmtId="0" fontId="0" fillId="0" borderId="12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1" xfId="0" applyNumberFormat="1" applyBorder="1"/>
    <xf numFmtId="0" fontId="0" fillId="0" borderId="3" xfId="0" applyNumberFormat="1" applyBorder="1" applyAlignment="1">
      <alignment horizontal="center"/>
    </xf>
    <xf numFmtId="0" fontId="3" fillId="0" borderId="4" xfId="0" applyNumberFormat="1" applyFont="1" applyFill="1" applyBorder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 vertical="center"/>
    </xf>
    <xf numFmtId="0" fontId="0" fillId="0" borderId="0" xfId="0" applyNumberFormat="1" applyAlignment="1" applyProtection="1">
      <alignment horizontal="center" vertical="center"/>
    </xf>
    <xf numFmtId="0" fontId="0" fillId="0" borderId="0" xfId="0" applyAlignment="1" applyProtection="1">
      <alignment vertical="top" wrapText="1"/>
    </xf>
    <xf numFmtId="0" fontId="1" fillId="0" borderId="0" xfId="0" applyNumberFormat="1" applyFont="1" applyAlignment="1" applyProtection="1">
      <alignment horizontal="center"/>
    </xf>
    <xf numFmtId="0" fontId="0" fillId="0" borderId="0" xfId="0" applyNumberFormat="1" applyAlignment="1" applyProtection="1">
      <alignment vertical="center" wrapText="1"/>
    </xf>
    <xf numFmtId="0" fontId="0" fillId="0" borderId="0" xfId="0" applyNumberFormat="1" applyAlignment="1" applyProtection="1">
      <alignment horizontal="center"/>
    </xf>
    <xf numFmtId="0" fontId="0" fillId="0" borderId="0" xfId="0" applyNumberFormat="1" applyProtection="1"/>
    <xf numFmtId="0" fontId="0" fillId="0" borderId="15" xfId="0" applyNumberFormat="1" applyBorder="1" applyAlignment="1" applyProtection="1">
      <alignment horizontal="center" vertical="center"/>
    </xf>
    <xf numFmtId="0" fontId="0" fillId="0" borderId="8" xfId="0" applyNumberFormat="1" applyBorder="1" applyAlignment="1" applyProtection="1">
      <alignment horizontal="center" vertical="center" wrapText="1"/>
    </xf>
    <xf numFmtId="0" fontId="0" fillId="0" borderId="6" xfId="0" applyNumberFormat="1" applyBorder="1" applyAlignment="1" applyProtection="1">
      <alignment horizontal="center"/>
    </xf>
    <xf numFmtId="0" fontId="1" fillId="0" borderId="0" xfId="0" applyNumberFormat="1" applyFont="1" applyFill="1" applyAlignment="1" applyProtection="1">
      <alignment horizontal="center"/>
    </xf>
    <xf numFmtId="0" fontId="0" fillId="0" borderId="0" xfId="0" applyNumberFormat="1" applyFill="1" applyBorder="1" applyAlignment="1" applyProtection="1">
      <alignment horizontal="center"/>
    </xf>
    <xf numFmtId="0" fontId="0" fillId="0" borderId="0" xfId="0" applyNumberFormat="1" applyFill="1" applyAlignment="1" applyProtection="1">
      <alignment horizontal="center"/>
    </xf>
    <xf numFmtId="0" fontId="0" fillId="0" borderId="0" xfId="0" applyNumberFormat="1" applyFill="1" applyProtection="1"/>
    <xf numFmtId="0" fontId="3" fillId="0" borderId="0" xfId="0" applyNumberFormat="1" applyFont="1" applyFill="1" applyBorder="1" applyAlignment="1" applyProtection="1">
      <alignment horizontal="center"/>
    </xf>
    <xf numFmtId="49" fontId="0" fillId="0" borderId="15" xfId="0" applyNumberFormat="1" applyBorder="1" applyAlignment="1" applyProtection="1">
      <alignment horizontal="center" vertical="center"/>
    </xf>
    <xf numFmtId="49" fontId="0" fillId="0" borderId="0" xfId="0" applyNumberFormat="1" applyProtection="1"/>
    <xf numFmtId="0" fontId="3" fillId="0" borderId="3" xfId="0" applyNumberFormat="1" applyFont="1" applyBorder="1" applyAlignment="1" applyProtection="1">
      <alignment horizontal="center"/>
    </xf>
    <xf numFmtId="0" fontId="3" fillId="0" borderId="0" xfId="0" applyNumberFormat="1" applyFont="1" applyProtection="1"/>
    <xf numFmtId="0" fontId="3" fillId="0" borderId="0" xfId="0" applyNumberFormat="1" applyFont="1" applyBorder="1" applyAlignment="1">
      <alignment horizontal="center"/>
    </xf>
    <xf numFmtId="165" fontId="3" fillId="0" borderId="4" xfId="0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Border="1" applyAlignment="1"/>
    <xf numFmtId="0" fontId="3" fillId="10" borderId="3" xfId="0" applyNumberFormat="1" applyFont="1" applyFill="1" applyBorder="1" applyAlignment="1">
      <alignment horizontal="center"/>
    </xf>
    <xf numFmtId="0" fontId="0" fillId="10" borderId="6" xfId="0" applyNumberFormat="1" applyFill="1" applyBorder="1" applyAlignment="1">
      <alignment horizontal="center"/>
    </xf>
    <xf numFmtId="165" fontId="3" fillId="10" borderId="4" xfId="0" applyNumberFormat="1" applyFont="1" applyFill="1" applyBorder="1" applyAlignment="1" applyProtection="1">
      <alignment horizontal="center"/>
      <protection locked="0"/>
    </xf>
    <xf numFmtId="0" fontId="3" fillId="0" borderId="0" xfId="0" applyNumberFormat="1" applyFont="1" applyAlignment="1">
      <alignment horizontal="center"/>
    </xf>
    <xf numFmtId="49" fontId="2" fillId="0" borderId="0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/>
    </xf>
    <xf numFmtId="0" fontId="5" fillId="0" borderId="0" xfId="0" applyNumberFormat="1" applyFont="1" applyFill="1" applyBorder="1" applyAlignment="1">
      <alignment vertical="top"/>
    </xf>
    <xf numFmtId="0" fontId="5" fillId="0" borderId="0" xfId="0" applyNumberFormat="1" applyFont="1" applyAlignment="1" applyProtection="1">
      <alignment wrapText="1"/>
    </xf>
    <xf numFmtId="0" fontId="0" fillId="0" borderId="0" xfId="0" applyAlignment="1" applyProtection="1">
      <alignment wrapText="1"/>
    </xf>
    <xf numFmtId="2" fontId="3" fillId="3" borderId="0" xfId="0" applyNumberFormat="1" applyFont="1" applyFill="1"/>
    <xf numFmtId="0" fontId="0" fillId="0" borderId="8" xfId="0" applyNumberFormat="1" applyBorder="1" applyAlignment="1" applyProtection="1">
      <alignment horizontal="center" vertical="center"/>
    </xf>
    <xf numFmtId="0" fontId="0" fillId="0" borderId="10" xfId="0" applyNumberFormat="1" applyBorder="1" applyAlignment="1" applyProtection="1">
      <alignment horizontal="center" vertical="center"/>
    </xf>
    <xf numFmtId="0" fontId="3" fillId="0" borderId="9" xfId="0" applyNumberFormat="1" applyFont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0" fontId="3" fillId="0" borderId="9" xfId="0" applyNumberFormat="1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8" xfId="0" applyNumberFormat="1" applyFont="1" applyBorder="1"/>
    <xf numFmtId="2" fontId="3" fillId="11" borderId="19" xfId="0" applyNumberFormat="1" applyFont="1" applyFill="1" applyBorder="1" applyAlignment="1">
      <alignment horizontal="center"/>
    </xf>
    <xf numFmtId="0" fontId="3" fillId="0" borderId="19" xfId="0" applyNumberFormat="1" applyFont="1" applyBorder="1"/>
    <xf numFmtId="0" fontId="3" fillId="0" borderId="19" xfId="0" applyNumberFormat="1" applyFont="1" applyBorder="1" applyAlignment="1">
      <alignment horizontal="center"/>
    </xf>
    <xf numFmtId="0" fontId="3" fillId="0" borderId="21" xfId="0" applyNumberFormat="1" applyFont="1" applyBorder="1"/>
    <xf numFmtId="0" fontId="3" fillId="11" borderId="0" xfId="0" applyNumberFormat="1" applyFont="1" applyFill="1" applyBorder="1" applyAlignment="1">
      <alignment horizontal="center"/>
    </xf>
    <xf numFmtId="0" fontId="3" fillId="0" borderId="0" xfId="0" applyNumberFormat="1" applyFont="1" applyBorder="1"/>
    <xf numFmtId="0" fontId="3" fillId="11" borderId="22" xfId="0" applyNumberFormat="1" applyFont="1" applyFill="1" applyBorder="1" applyAlignment="1">
      <alignment horizontal="center"/>
    </xf>
    <xf numFmtId="0" fontId="3" fillId="0" borderId="21" xfId="0" applyNumberFormat="1" applyFont="1" applyBorder="1" applyAlignment="1">
      <alignment horizontal="center"/>
    </xf>
    <xf numFmtId="0" fontId="3" fillId="0" borderId="22" xfId="0" applyNumberFormat="1" applyFont="1" applyBorder="1"/>
    <xf numFmtId="0" fontId="3" fillId="11" borderId="23" xfId="0" applyNumberFormat="1" applyFont="1" applyFill="1" applyBorder="1" applyAlignment="1">
      <alignment horizontal="center"/>
    </xf>
    <xf numFmtId="0" fontId="3" fillId="0" borderId="24" xfId="0" applyNumberFormat="1" applyFont="1" applyBorder="1"/>
    <xf numFmtId="165" fontId="3" fillId="11" borderId="24" xfId="0" applyNumberFormat="1" applyFont="1" applyFill="1" applyBorder="1" applyAlignment="1">
      <alignment horizontal="center"/>
    </xf>
    <xf numFmtId="0" fontId="3" fillId="0" borderId="25" xfId="0" applyNumberFormat="1" applyFont="1" applyBorder="1"/>
    <xf numFmtId="0" fontId="1" fillId="0" borderId="0" xfId="0" applyNumberFormat="1" applyFont="1" applyFill="1" applyBorder="1" applyAlignment="1">
      <alignment vertical="center" wrapText="1"/>
    </xf>
    <xf numFmtId="0" fontId="0" fillId="0" borderId="0" xfId="0" applyAlignment="1"/>
    <xf numFmtId="0" fontId="2" fillId="0" borderId="0" xfId="0" applyNumberFormat="1" applyFont="1" applyAlignment="1">
      <alignment horizontal="center" vertical="center"/>
    </xf>
    <xf numFmtId="0" fontId="0" fillId="0" borderId="13" xfId="0" applyNumberFormat="1" applyBorder="1" applyAlignment="1" applyProtection="1">
      <alignment horizontal="center" vertical="center" wrapText="1"/>
    </xf>
    <xf numFmtId="0" fontId="0" fillId="0" borderId="16" xfId="0" applyNumberFormat="1" applyBorder="1" applyAlignment="1" applyProtection="1">
      <alignment horizontal="center" vertical="center" wrapText="1"/>
    </xf>
    <xf numFmtId="0" fontId="0" fillId="0" borderId="14" xfId="0" applyNumberForma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/>
    </xf>
    <xf numFmtId="0" fontId="5" fillId="0" borderId="1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NumberFormat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3" fillId="0" borderId="19" xfId="0" applyNumberFormat="1" applyFont="1" applyBorder="1" applyAlignment="1">
      <alignment horizontal="center"/>
    </xf>
    <xf numFmtId="0" fontId="3" fillId="0" borderId="20" xfId="0" applyNumberFormat="1" applyFont="1" applyBorder="1" applyAlignment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2" fillId="0" borderId="3" xfId="0" applyNumberFormat="1" applyFon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0" borderId="0" xfId="0" applyNumberFormat="1" applyFont="1" applyAlignment="1" applyProtection="1">
      <alignment horizontal="center"/>
    </xf>
  </cellXfs>
  <cellStyles count="1">
    <cellStyle name="Normal" xfId="0" builtinId="0"/>
  </cellStyles>
  <dxfs count="2">
    <dxf>
      <font>
        <color theme="0" tint="-0.24994659260841701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C7A1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43458445338046"/>
          <c:y val="2.7632935561888176E-2"/>
          <c:w val="0.81117778776012694"/>
          <c:h val="0.91001628752269148"/>
        </c:manualLayout>
      </c:layout>
      <c:scatterChart>
        <c:scatterStyle val="lineMarker"/>
        <c:varyColors val="0"/>
        <c:ser>
          <c:idx val="0"/>
          <c:order val="0"/>
          <c:tx>
            <c:v>Ciseaux</c:v>
          </c:tx>
          <c:spPr>
            <a:ln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Calculs!$C$83:$C$88</c:f>
              <c:numCache>
                <c:formatCode>General</c:formatCode>
                <c:ptCount val="6"/>
                <c:pt idx="0">
                  <c:v>0</c:v>
                </c:pt>
                <c:pt idx="1">
                  <c:v>698.55207393579474</c:v>
                </c:pt>
                <c:pt idx="2">
                  <c:v>0</c:v>
                </c:pt>
                <c:pt idx="3">
                  <c:v>698.55207393579474</c:v>
                </c:pt>
                <c:pt idx="4">
                  <c:v>0</c:v>
                </c:pt>
                <c:pt idx="5">
                  <c:v>698.55207393579474</c:v>
                </c:pt>
              </c:numCache>
            </c:numRef>
          </c:xVal>
          <c:yVal>
            <c:numRef>
              <c:f>Calculs!$D$83:$D$88</c:f>
              <c:numCache>
                <c:formatCode>General</c:formatCode>
                <c:ptCount val="6"/>
                <c:pt idx="0">
                  <c:v>90</c:v>
                </c:pt>
                <c:pt idx="1">
                  <c:v>45</c:v>
                </c:pt>
                <c:pt idx="2">
                  <c:v>0</c:v>
                </c:pt>
                <c:pt idx="3">
                  <c:v>0</c:v>
                </c:pt>
                <c:pt idx="4">
                  <c:v>45</c:v>
                </c:pt>
                <c:pt idx="5">
                  <c:v>90</c:v>
                </c:pt>
              </c:numCache>
            </c:numRef>
          </c:yVal>
          <c:smooth val="0"/>
        </c:ser>
        <c:ser>
          <c:idx val="1"/>
          <c:order val="1"/>
          <c:tx>
            <c:v>Table</c:v>
          </c:tx>
          <c:spPr>
            <a:ln w="5715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Calculs!$C$90:$C$91</c:f>
              <c:numCache>
                <c:formatCode>General</c:formatCode>
                <c:ptCount val="2"/>
                <c:pt idx="0">
                  <c:v>0</c:v>
                </c:pt>
                <c:pt idx="1">
                  <c:v>1100</c:v>
                </c:pt>
              </c:numCache>
            </c:numRef>
          </c:xVal>
          <c:yVal>
            <c:numRef>
              <c:f>Calculs!$D$90:$D$91</c:f>
              <c:numCache>
                <c:formatCode>General</c:formatCode>
                <c:ptCount val="2"/>
                <c:pt idx="0">
                  <c:v>90</c:v>
                </c:pt>
                <c:pt idx="1">
                  <c:v>90</c:v>
                </c:pt>
              </c:numCache>
            </c:numRef>
          </c:yVal>
          <c:smooth val="0"/>
        </c:ser>
        <c:ser>
          <c:idx val="2"/>
          <c:order val="2"/>
          <c:tx>
            <c:v>Gc</c:v>
          </c:tx>
          <c:marker>
            <c:symbol val="circle"/>
            <c:size val="12"/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3.2393345335592079E-2"/>
                  <c:y val="-3.3932909738994474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Calculs!$C$93</c:f>
              <c:numCache>
                <c:formatCode>General</c:formatCode>
                <c:ptCount val="1"/>
                <c:pt idx="0">
                  <c:v>100</c:v>
                </c:pt>
              </c:numCache>
            </c:numRef>
          </c:xVal>
          <c:yVal>
            <c:numRef>
              <c:f>Calculs!$D$93</c:f>
              <c:numCache>
                <c:formatCode>General</c:formatCode>
                <c:ptCount val="1"/>
                <c:pt idx="0">
                  <c:v>190</c:v>
                </c:pt>
              </c:numCache>
            </c:numRef>
          </c:yVal>
          <c:smooth val="0"/>
        </c:ser>
        <c:ser>
          <c:idx val="3"/>
          <c:order val="3"/>
          <c:tx>
            <c:v>Gt</c:v>
          </c:tx>
          <c:marker>
            <c:symbol val="circle"/>
            <c:size val="8"/>
            <c:spPr>
              <a:solidFill>
                <a:srgbClr val="92D050"/>
              </a:solidFill>
            </c:spPr>
          </c:marker>
          <c:dLbls>
            <c:dLbl>
              <c:idx val="0"/>
              <c:layout>
                <c:manualLayout>
                  <c:x val="-4.3191127114122728E-2"/>
                  <c:y val="-2.488413380859594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Calculs!$C$94</c:f>
              <c:numCache>
                <c:formatCode>General</c:formatCode>
                <c:ptCount val="1"/>
                <c:pt idx="0">
                  <c:v>350</c:v>
                </c:pt>
              </c:numCache>
            </c:numRef>
          </c:xVal>
          <c:yVal>
            <c:numRef>
              <c:f>Calculs!$D$94</c:f>
              <c:numCache>
                <c:formatCode>General</c:formatCode>
                <c:ptCount val="1"/>
                <c:pt idx="0">
                  <c:v>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2492304"/>
        <c:axId val="1362498832"/>
      </c:scatterChart>
      <c:valAx>
        <c:axId val="1362492304"/>
        <c:scaling>
          <c:orientation val="minMax"/>
          <c:max val="150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>
                    <a:lumMod val="75000"/>
                  </a:schemeClr>
                </a:solidFill>
              </a:defRPr>
            </a:pPr>
            <a:endParaRPr lang="fr-FR"/>
          </a:p>
        </c:txPr>
        <c:crossAx val="1362498832"/>
        <c:crosses val="autoZero"/>
        <c:crossBetween val="midCat"/>
        <c:majorUnit val="250"/>
      </c:valAx>
      <c:valAx>
        <c:axId val="1362498832"/>
        <c:scaling>
          <c:orientation val="minMax"/>
          <c:max val="20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>
                    <a:lumMod val="75000"/>
                  </a:schemeClr>
                </a:solidFill>
              </a:defRPr>
            </a:pPr>
            <a:endParaRPr lang="fr-FR"/>
          </a:p>
        </c:txPr>
        <c:crossAx val="1362492304"/>
        <c:crosses val="autoZero"/>
        <c:crossBetween val="midCat"/>
        <c:majorUnit val="25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173490</xdr:colOff>
      <xdr:row>5</xdr:row>
      <xdr:rowOff>23813</xdr:rowOff>
    </xdr:from>
    <xdr:to>
      <xdr:col>16</xdr:col>
      <xdr:colOff>651441</xdr:colOff>
      <xdr:row>38</xdr:row>
      <xdr:rowOff>77614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685800</xdr:colOff>
          <xdr:row>9</xdr:row>
          <xdr:rowOff>9525</xdr:rowOff>
        </xdr:from>
        <xdr:to>
          <xdr:col>3</xdr:col>
          <xdr:colOff>219075</xdr:colOff>
          <xdr:row>10</xdr:row>
          <xdr:rowOff>28575</xdr:rowOff>
        </xdr:to>
        <xdr:sp macro="" textlink="">
          <xdr:nvSpPr>
            <xdr:cNvPr id="1025" name="BarreAH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5</xdr:col>
      <xdr:colOff>120746</xdr:colOff>
      <xdr:row>18</xdr:row>
      <xdr:rowOff>129265</xdr:rowOff>
    </xdr:from>
    <xdr:to>
      <xdr:col>9</xdr:col>
      <xdr:colOff>756899</xdr:colOff>
      <xdr:row>40</xdr:row>
      <xdr:rowOff>71437</xdr:rowOff>
    </xdr:to>
    <xdr:grpSp>
      <xdr:nvGrpSpPr>
        <xdr:cNvPr id="81" name="Groupe 80"/>
        <xdr:cNvGrpSpPr/>
      </xdr:nvGrpSpPr>
      <xdr:grpSpPr>
        <a:xfrm>
          <a:off x="4097434" y="3427296"/>
          <a:ext cx="4017528" cy="3609297"/>
          <a:chOff x="3906934" y="3629703"/>
          <a:chExt cx="4017528" cy="3609297"/>
        </a:xfrm>
      </xdr:grpSpPr>
      <xdr:cxnSp macro="">
        <xdr:nvCxnSpPr>
          <xdr:cNvPr id="22" name="Connecteur droit 21"/>
          <xdr:cNvCxnSpPr/>
        </xdr:nvCxnSpPr>
        <xdr:spPr>
          <a:xfrm>
            <a:off x="6643688" y="6691313"/>
            <a:ext cx="535781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1" name="Connecteur droit 50"/>
          <xdr:cNvCxnSpPr/>
        </xdr:nvCxnSpPr>
        <xdr:spPr>
          <a:xfrm>
            <a:off x="6643688" y="6810376"/>
            <a:ext cx="535781" cy="0"/>
          </a:xfrm>
          <a:prstGeom prst="line">
            <a:avLst/>
          </a:prstGeom>
          <a:ln w="2857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0" name="Connecteur droit 69"/>
          <xdr:cNvCxnSpPr/>
        </xdr:nvCxnSpPr>
        <xdr:spPr>
          <a:xfrm>
            <a:off x="6143626" y="6750850"/>
            <a:ext cx="833437" cy="0"/>
          </a:xfrm>
          <a:prstGeom prst="line">
            <a:avLst/>
          </a:prstGeom>
          <a:ln w="57150"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8" name="Rectangle 67"/>
          <xdr:cNvSpPr/>
        </xdr:nvSpPr>
        <xdr:spPr>
          <a:xfrm>
            <a:off x="4476750" y="6643691"/>
            <a:ext cx="1702594" cy="214310"/>
          </a:xfrm>
          <a:prstGeom prst="rect">
            <a:avLst/>
          </a:prstGeom>
          <a:solidFill>
            <a:schemeClr val="accent3">
              <a:lumMod val="20000"/>
              <a:lumOff val="80000"/>
            </a:schemeClr>
          </a:solidFill>
          <a:ln w="3175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grpSp>
        <xdr:nvGrpSpPr>
          <xdr:cNvPr id="8" name="Groupe 7"/>
          <xdr:cNvGrpSpPr/>
        </xdr:nvGrpSpPr>
        <xdr:grpSpPr>
          <a:xfrm>
            <a:off x="4396442" y="4310062"/>
            <a:ext cx="2564691" cy="1215852"/>
            <a:chOff x="8596313" y="14806181"/>
            <a:chExt cx="2500312" cy="1012032"/>
          </a:xfrm>
        </xdr:grpSpPr>
        <xdr:cxnSp macro="">
          <xdr:nvCxnSpPr>
            <xdr:cNvPr id="5" name="Connecteur droit 4"/>
            <xdr:cNvCxnSpPr/>
          </xdr:nvCxnSpPr>
          <xdr:spPr>
            <a:xfrm>
              <a:off x="8596313" y="14806181"/>
              <a:ext cx="2500312" cy="1012032"/>
            </a:xfrm>
            <a:prstGeom prst="line">
              <a:avLst/>
            </a:prstGeom>
            <a:ln>
              <a:solidFill>
                <a:srgbClr val="0070C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" name="Connecteur droit 6"/>
            <xdr:cNvCxnSpPr/>
          </xdr:nvCxnSpPr>
          <xdr:spPr>
            <a:xfrm flipH="1">
              <a:off x="8596313" y="14806181"/>
              <a:ext cx="2500312" cy="1012032"/>
            </a:xfrm>
            <a:prstGeom prst="line">
              <a:avLst/>
            </a:prstGeom>
            <a:ln>
              <a:solidFill>
                <a:srgbClr val="0070C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9" name="Groupe 8"/>
          <xdr:cNvGrpSpPr/>
        </xdr:nvGrpSpPr>
        <xdr:grpSpPr>
          <a:xfrm>
            <a:off x="4396442" y="5524087"/>
            <a:ext cx="2564691" cy="1215853"/>
            <a:chOff x="8596313" y="14792755"/>
            <a:chExt cx="2500312" cy="1012032"/>
          </a:xfrm>
        </xdr:grpSpPr>
        <xdr:cxnSp macro="">
          <xdr:nvCxnSpPr>
            <xdr:cNvPr id="10" name="Connecteur droit 9"/>
            <xdr:cNvCxnSpPr/>
          </xdr:nvCxnSpPr>
          <xdr:spPr>
            <a:xfrm>
              <a:off x="8596313" y="14792755"/>
              <a:ext cx="2500312" cy="1012032"/>
            </a:xfrm>
            <a:prstGeom prst="line">
              <a:avLst/>
            </a:prstGeom>
            <a:ln>
              <a:solidFill>
                <a:srgbClr val="0070C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1" name="Connecteur droit 10"/>
            <xdr:cNvCxnSpPr/>
          </xdr:nvCxnSpPr>
          <xdr:spPr>
            <a:xfrm flipH="1">
              <a:off x="8596313" y="14792755"/>
              <a:ext cx="2500312" cy="1012032"/>
            </a:xfrm>
            <a:prstGeom prst="line">
              <a:avLst/>
            </a:prstGeom>
            <a:ln>
              <a:solidFill>
                <a:srgbClr val="0070C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5" name="ZoneTexte 14"/>
          <xdr:cNvSpPr txBox="1"/>
        </xdr:nvSpPr>
        <xdr:spPr>
          <a:xfrm>
            <a:off x="4083687" y="4123158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H</a:t>
            </a:r>
          </a:p>
        </xdr:txBody>
      </xdr:sp>
      <xdr:sp macro="" textlink="">
        <xdr:nvSpPr>
          <xdr:cNvPr id="16" name="ZoneTexte 15"/>
          <xdr:cNvSpPr txBox="1"/>
        </xdr:nvSpPr>
        <xdr:spPr>
          <a:xfrm>
            <a:off x="4131313" y="5422435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F</a:t>
            </a:r>
          </a:p>
        </xdr:txBody>
      </xdr:sp>
      <xdr:sp macro="" textlink="">
        <xdr:nvSpPr>
          <xdr:cNvPr id="17" name="ZoneTexte 16"/>
          <xdr:cNvSpPr txBox="1"/>
        </xdr:nvSpPr>
        <xdr:spPr>
          <a:xfrm>
            <a:off x="4047970" y="6752632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D</a:t>
            </a:r>
          </a:p>
        </xdr:txBody>
      </xdr:sp>
      <xdr:sp macro="" textlink="">
        <xdr:nvSpPr>
          <xdr:cNvPr id="19" name="ZoneTexte 18"/>
          <xdr:cNvSpPr txBox="1"/>
        </xdr:nvSpPr>
        <xdr:spPr>
          <a:xfrm>
            <a:off x="7176364" y="4178464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G</a:t>
            </a:r>
          </a:p>
        </xdr:txBody>
      </xdr:sp>
      <xdr:sp macro="" textlink="">
        <xdr:nvSpPr>
          <xdr:cNvPr id="20" name="ZoneTexte 19"/>
          <xdr:cNvSpPr txBox="1"/>
        </xdr:nvSpPr>
        <xdr:spPr>
          <a:xfrm>
            <a:off x="6997771" y="5406307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E</a:t>
            </a:r>
          </a:p>
        </xdr:txBody>
      </xdr:sp>
      <xdr:sp macro="" textlink="">
        <xdr:nvSpPr>
          <xdr:cNvPr id="23" name="ZoneTexte 22"/>
          <xdr:cNvSpPr txBox="1"/>
        </xdr:nvSpPr>
        <xdr:spPr>
          <a:xfrm>
            <a:off x="5562321" y="4636837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K</a:t>
            </a:r>
          </a:p>
        </xdr:txBody>
      </xdr:sp>
      <xdr:sp macro="" textlink="">
        <xdr:nvSpPr>
          <xdr:cNvPr id="24" name="ZoneTexte 23"/>
          <xdr:cNvSpPr txBox="1"/>
        </xdr:nvSpPr>
        <xdr:spPr>
          <a:xfrm>
            <a:off x="5550415" y="5777231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J</a:t>
            </a:r>
          </a:p>
        </xdr:txBody>
      </xdr:sp>
      <xdr:cxnSp macro="">
        <xdr:nvCxnSpPr>
          <xdr:cNvPr id="31" name="Connecteur droit 30"/>
          <xdr:cNvCxnSpPr/>
        </xdr:nvCxnSpPr>
        <xdr:spPr>
          <a:xfrm>
            <a:off x="4384228" y="3751332"/>
            <a:ext cx="0" cy="3225731"/>
          </a:xfrm>
          <a:prstGeom prst="line">
            <a:avLst/>
          </a:prstGeom>
          <a:ln w="3175">
            <a:solidFill>
              <a:schemeClr val="bg1">
                <a:lumMod val="50000"/>
              </a:schemeClr>
            </a:solidFill>
            <a:headEnd type="triangl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2" name="Connecteur droit 31"/>
          <xdr:cNvCxnSpPr/>
        </xdr:nvCxnSpPr>
        <xdr:spPr>
          <a:xfrm flipH="1">
            <a:off x="3906934" y="6749444"/>
            <a:ext cx="3701160" cy="0"/>
          </a:xfrm>
          <a:prstGeom prst="line">
            <a:avLst/>
          </a:prstGeom>
          <a:ln w="3175">
            <a:solidFill>
              <a:schemeClr val="bg1">
                <a:lumMod val="50000"/>
              </a:schemeClr>
            </a:solidFill>
            <a:headEnd type="triangl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3" name="ZoneTexte 32"/>
          <xdr:cNvSpPr txBox="1"/>
        </xdr:nvSpPr>
        <xdr:spPr>
          <a:xfrm>
            <a:off x="4494142" y="3629703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Y</a:t>
            </a:r>
          </a:p>
        </xdr:txBody>
      </xdr:sp>
      <xdr:sp macro="" textlink="">
        <xdr:nvSpPr>
          <xdr:cNvPr id="34" name="ZoneTexte 33"/>
          <xdr:cNvSpPr txBox="1"/>
        </xdr:nvSpPr>
        <xdr:spPr>
          <a:xfrm>
            <a:off x="7594717" y="6618281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X</a:t>
            </a:r>
          </a:p>
        </xdr:txBody>
      </xdr:sp>
      <xdr:sp macro="" textlink="">
        <xdr:nvSpPr>
          <xdr:cNvPr id="38" name="ZoneTexte 37"/>
          <xdr:cNvSpPr txBox="1"/>
        </xdr:nvSpPr>
        <xdr:spPr>
          <a:xfrm>
            <a:off x="6941187" y="6478790"/>
            <a:ext cx="329745" cy="2720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>
                <a:solidFill>
                  <a:srgbClr val="FF0000"/>
                </a:solidFill>
              </a:rPr>
              <a:t>Fv</a:t>
            </a:r>
          </a:p>
        </xdr:txBody>
      </xdr:sp>
      <xdr:cxnSp macro="">
        <xdr:nvCxnSpPr>
          <xdr:cNvPr id="12" name="Connecteur droit 11"/>
          <xdr:cNvCxnSpPr/>
        </xdr:nvCxnSpPr>
        <xdr:spPr>
          <a:xfrm flipH="1">
            <a:off x="4369595" y="4119563"/>
            <a:ext cx="3226622" cy="0"/>
          </a:xfrm>
          <a:prstGeom prst="line">
            <a:avLst/>
          </a:prstGeom>
          <a:ln w="381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" name="Connecteur droit avec flèche 36"/>
          <xdr:cNvCxnSpPr/>
        </xdr:nvCxnSpPr>
        <xdr:spPr>
          <a:xfrm rot="5400000" flipH="1" flipV="1">
            <a:off x="7119936" y="6619874"/>
            <a:ext cx="0" cy="273844"/>
          </a:xfrm>
          <a:prstGeom prst="straightConnector1">
            <a:avLst/>
          </a:prstGeom>
          <a:ln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" name="Ellipse 1"/>
          <xdr:cNvSpPr/>
        </xdr:nvSpPr>
        <xdr:spPr>
          <a:xfrm>
            <a:off x="4357689" y="4274344"/>
            <a:ext cx="71436" cy="71436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3" name="Ellipse 42"/>
          <xdr:cNvSpPr/>
        </xdr:nvSpPr>
        <xdr:spPr>
          <a:xfrm>
            <a:off x="4310064" y="6679409"/>
            <a:ext cx="142874" cy="142874"/>
          </a:xfrm>
          <a:prstGeom prst="ellips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5" name="Ellipse 44"/>
          <xdr:cNvSpPr/>
        </xdr:nvSpPr>
        <xdr:spPr>
          <a:xfrm>
            <a:off x="5655471" y="6096002"/>
            <a:ext cx="71436" cy="71436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6" name="Ellipse 45"/>
          <xdr:cNvSpPr/>
        </xdr:nvSpPr>
        <xdr:spPr>
          <a:xfrm>
            <a:off x="4345783" y="5500689"/>
            <a:ext cx="71436" cy="71435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7" name="Ellipse 46"/>
          <xdr:cNvSpPr/>
        </xdr:nvSpPr>
        <xdr:spPr>
          <a:xfrm>
            <a:off x="6905627" y="5500689"/>
            <a:ext cx="71436" cy="71435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8" name="Ellipse 47"/>
          <xdr:cNvSpPr/>
        </xdr:nvSpPr>
        <xdr:spPr>
          <a:xfrm>
            <a:off x="5655471" y="4893469"/>
            <a:ext cx="71436" cy="71436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9" name="Ellipse 48"/>
          <xdr:cNvSpPr/>
        </xdr:nvSpPr>
        <xdr:spPr>
          <a:xfrm>
            <a:off x="6941346" y="6715127"/>
            <a:ext cx="71436" cy="71436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50" name="Ellipse 49"/>
          <xdr:cNvSpPr/>
        </xdr:nvSpPr>
        <xdr:spPr>
          <a:xfrm>
            <a:off x="6941346" y="4262438"/>
            <a:ext cx="71436" cy="71436"/>
          </a:xfrm>
          <a:prstGeom prst="ellipse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cxnSp macro="">
        <xdr:nvCxnSpPr>
          <xdr:cNvPr id="52" name="Connecteur droit 51"/>
          <xdr:cNvCxnSpPr/>
        </xdr:nvCxnSpPr>
        <xdr:spPr>
          <a:xfrm>
            <a:off x="6655594" y="4238625"/>
            <a:ext cx="535781" cy="0"/>
          </a:xfrm>
          <a:prstGeom prst="line">
            <a:avLst/>
          </a:prstGeom>
          <a:ln w="2857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3" name="Connecteur droit 52"/>
          <xdr:cNvCxnSpPr/>
        </xdr:nvCxnSpPr>
        <xdr:spPr>
          <a:xfrm>
            <a:off x="6655594" y="4345783"/>
            <a:ext cx="523875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Connecteur droit 53"/>
          <xdr:cNvCxnSpPr/>
        </xdr:nvCxnSpPr>
        <xdr:spPr>
          <a:xfrm rot="5400000" flipH="1">
            <a:off x="4310064" y="4191001"/>
            <a:ext cx="142873" cy="0"/>
          </a:xfrm>
          <a:prstGeom prst="line">
            <a:avLst/>
          </a:prstGeom>
          <a:ln w="381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5" name="Connecteur droit 54"/>
          <xdr:cNvCxnSpPr/>
        </xdr:nvCxnSpPr>
        <xdr:spPr>
          <a:xfrm rot="5400000" flipH="1">
            <a:off x="6903245" y="4200524"/>
            <a:ext cx="142873" cy="0"/>
          </a:xfrm>
          <a:prstGeom prst="line">
            <a:avLst/>
          </a:prstGeom>
          <a:ln w="381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" name="Rectangle 57"/>
          <xdr:cNvSpPr/>
        </xdr:nvSpPr>
        <xdr:spPr>
          <a:xfrm>
            <a:off x="5976938" y="3762376"/>
            <a:ext cx="583406" cy="333375"/>
          </a:xfrm>
          <a:prstGeom prst="rect">
            <a:avLst/>
          </a:prstGeom>
          <a:solidFill>
            <a:schemeClr val="accent5">
              <a:lumMod val="20000"/>
              <a:lumOff val="80000"/>
            </a:schemeClr>
          </a:solidFill>
          <a:ln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cxnSp macro="">
        <xdr:nvCxnSpPr>
          <xdr:cNvPr id="60" name="Connecteur droit avec flèche 59"/>
          <xdr:cNvCxnSpPr/>
        </xdr:nvCxnSpPr>
        <xdr:spPr>
          <a:xfrm>
            <a:off x="5798345" y="4131471"/>
            <a:ext cx="0" cy="273844"/>
          </a:xfrm>
          <a:prstGeom prst="straightConnector1">
            <a:avLst/>
          </a:prstGeom>
          <a:ln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1" name="Connecteur droit avec flèche 60"/>
          <xdr:cNvCxnSpPr/>
        </xdr:nvCxnSpPr>
        <xdr:spPr>
          <a:xfrm>
            <a:off x="6262689" y="4000502"/>
            <a:ext cx="0" cy="273844"/>
          </a:xfrm>
          <a:prstGeom prst="straightConnector1">
            <a:avLst/>
          </a:prstGeom>
          <a:ln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2" name="ZoneTexte 61"/>
          <xdr:cNvSpPr txBox="1"/>
        </xdr:nvSpPr>
        <xdr:spPr>
          <a:xfrm>
            <a:off x="5500531" y="4192787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>
                <a:solidFill>
                  <a:srgbClr val="FF0000"/>
                </a:solidFill>
              </a:rPr>
              <a:t>Pt</a:t>
            </a:r>
          </a:p>
        </xdr:txBody>
      </xdr:sp>
      <xdr:sp macro="" textlink="">
        <xdr:nvSpPr>
          <xdr:cNvPr id="63" name="ZoneTexte 62"/>
          <xdr:cNvSpPr txBox="1"/>
        </xdr:nvSpPr>
        <xdr:spPr>
          <a:xfrm>
            <a:off x="6095844" y="4216599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>
                <a:solidFill>
                  <a:srgbClr val="FF0000"/>
                </a:solidFill>
              </a:rPr>
              <a:t>Pc</a:t>
            </a:r>
          </a:p>
        </xdr:txBody>
      </xdr:sp>
      <xdr:sp macro="" textlink="">
        <xdr:nvSpPr>
          <xdr:cNvPr id="64" name="Ellipse 63"/>
          <xdr:cNvSpPr>
            <a:spLocks noChangeAspect="1"/>
          </xdr:cNvSpPr>
        </xdr:nvSpPr>
        <xdr:spPr>
          <a:xfrm>
            <a:off x="5786439" y="4119563"/>
            <a:ext cx="36000" cy="36000"/>
          </a:xfrm>
          <a:prstGeom prst="ellipse">
            <a:avLst/>
          </a:prstGeom>
          <a:solidFill>
            <a:srgbClr val="0070C0"/>
          </a:solidFill>
          <a:ln w="3175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4" name="Ellipse 43"/>
          <xdr:cNvSpPr>
            <a:spLocks noChangeAspect="1"/>
          </xdr:cNvSpPr>
        </xdr:nvSpPr>
        <xdr:spPr>
          <a:xfrm>
            <a:off x="6250782" y="3952876"/>
            <a:ext cx="36000" cy="36000"/>
          </a:xfrm>
          <a:prstGeom prst="ellipse">
            <a:avLst/>
          </a:prstGeom>
          <a:solidFill>
            <a:srgbClr val="0070C0"/>
          </a:solidFill>
          <a:ln w="3175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65" name="ZoneTexte 64"/>
          <xdr:cNvSpPr txBox="1"/>
        </xdr:nvSpPr>
        <xdr:spPr>
          <a:xfrm>
            <a:off x="5595937" y="3873126"/>
            <a:ext cx="412931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Gt</a:t>
            </a:r>
          </a:p>
        </xdr:txBody>
      </xdr:sp>
      <xdr:sp macro="" textlink="">
        <xdr:nvSpPr>
          <xdr:cNvPr id="66" name="ZoneTexte 65"/>
          <xdr:cNvSpPr txBox="1"/>
        </xdr:nvSpPr>
        <xdr:spPr>
          <a:xfrm>
            <a:off x="6107749" y="3718345"/>
            <a:ext cx="440689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Gc</a:t>
            </a:r>
          </a:p>
        </xdr:txBody>
      </xdr:sp>
      <xdr:sp macro="" textlink="">
        <xdr:nvSpPr>
          <xdr:cNvPr id="73" name="ZoneTexte 72"/>
          <xdr:cNvSpPr txBox="1"/>
        </xdr:nvSpPr>
        <xdr:spPr>
          <a:xfrm>
            <a:off x="5094405" y="6665905"/>
            <a:ext cx="549159" cy="180188"/>
          </a:xfrm>
          <a:prstGeom prst="rect">
            <a:avLst/>
          </a:prstGeom>
          <a:solidFill>
            <a:schemeClr val="accent3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/>
            <a:r>
              <a:rPr lang="fr-FR" sz="1100"/>
              <a:t>Vérin</a:t>
            </a:r>
          </a:p>
        </xdr:txBody>
      </xdr:sp>
      <xdr:cxnSp macro="">
        <xdr:nvCxnSpPr>
          <xdr:cNvPr id="76" name="Connecteur droit 75"/>
          <xdr:cNvCxnSpPr/>
        </xdr:nvCxnSpPr>
        <xdr:spPr>
          <a:xfrm rot="5400000" flipH="1">
            <a:off x="6843714" y="6879432"/>
            <a:ext cx="142873" cy="0"/>
          </a:xfrm>
          <a:prstGeom prst="line">
            <a:avLst/>
          </a:prstGeom>
          <a:ln w="381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7" name="Connecteur droit 76"/>
          <xdr:cNvCxnSpPr/>
        </xdr:nvCxnSpPr>
        <xdr:spPr>
          <a:xfrm rot="5400000" flipH="1">
            <a:off x="4307683" y="6879432"/>
            <a:ext cx="142873" cy="0"/>
          </a:xfrm>
          <a:prstGeom prst="line">
            <a:avLst/>
          </a:prstGeom>
          <a:ln w="381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pSp>
        <xdr:nvGrpSpPr>
          <xdr:cNvPr id="80" name="Groupe 79"/>
          <xdr:cNvGrpSpPr/>
        </xdr:nvGrpSpPr>
        <xdr:grpSpPr>
          <a:xfrm>
            <a:off x="4274343" y="6965156"/>
            <a:ext cx="3190875" cy="273844"/>
            <a:chOff x="4274344" y="6965156"/>
            <a:chExt cx="2786066" cy="190504"/>
          </a:xfrm>
        </xdr:grpSpPr>
        <xdr:sp macro="" textlink="">
          <xdr:nvSpPr>
            <xdr:cNvPr id="79" name="Rectangle 78"/>
            <xdr:cNvSpPr/>
          </xdr:nvSpPr>
          <xdr:spPr>
            <a:xfrm>
              <a:off x="4274344" y="6977066"/>
              <a:ext cx="2786062" cy="178594"/>
            </a:xfrm>
            <a:prstGeom prst="rect">
              <a:avLst/>
            </a:prstGeom>
            <a:pattFill prst="ltUpDiag">
              <a:fgClr>
                <a:schemeClr val="accent5">
                  <a:lumMod val="40000"/>
                  <a:lumOff val="60000"/>
                </a:schemeClr>
              </a:fgClr>
              <a:bgClr>
                <a:schemeClr val="bg1"/>
              </a:bgClr>
            </a:patt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fr-FR" sz="1100"/>
            </a:p>
          </xdr:txBody>
        </xdr:sp>
        <xdr:cxnSp macro="">
          <xdr:nvCxnSpPr>
            <xdr:cNvPr id="78" name="Connecteur droit 77"/>
            <xdr:cNvCxnSpPr/>
          </xdr:nvCxnSpPr>
          <xdr:spPr>
            <a:xfrm flipH="1">
              <a:off x="4274348" y="6965156"/>
              <a:ext cx="2786062" cy="0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83" name="ZoneTexte 82"/>
          <xdr:cNvSpPr txBox="1"/>
        </xdr:nvSpPr>
        <xdr:spPr>
          <a:xfrm>
            <a:off x="6783457" y="6477868"/>
            <a:ext cx="329745" cy="3289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B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9</xdr:col>
      <xdr:colOff>525584</xdr:colOff>
      <xdr:row>62</xdr:row>
      <xdr:rowOff>76200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7307384" cy="10058400"/>
        </a:xfrm>
        <a:prstGeom prst="rect">
          <a:avLst/>
        </a:prstGeom>
      </xdr:spPr>
    </xdr:pic>
    <xdr:clientData/>
  </xdr:twoCellAnchor>
  <xdr:twoCellAnchor editAs="oneCell">
    <xdr:from>
      <xdr:col>9</xdr:col>
      <xdr:colOff>378600</xdr:colOff>
      <xdr:row>0</xdr:row>
      <xdr:rowOff>45225</xdr:rowOff>
    </xdr:from>
    <xdr:to>
      <xdr:col>19</xdr:col>
      <xdr:colOff>65984</xdr:colOff>
      <xdr:row>62</xdr:row>
      <xdr:rowOff>64275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6600" y="45225"/>
          <a:ext cx="7307384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AF119"/>
  <sheetViews>
    <sheetView showGridLines="0" tabSelected="1" topLeftCell="A15" zoomScale="80" zoomScaleNormal="80" workbookViewId="0">
      <selection activeCell="U37" sqref="U37"/>
    </sheetView>
  </sheetViews>
  <sheetFormatPr baseColWidth="10" defaultRowHeight="12.75" x14ac:dyDescent="0.2"/>
  <cols>
    <col min="1" max="1" width="9" style="3" customWidth="1"/>
    <col min="2" max="18" width="12.7109375" style="2" customWidth="1"/>
    <col min="19" max="19" width="14.28515625" style="2" customWidth="1"/>
    <col min="20" max="20" width="12.7109375" style="2" customWidth="1"/>
    <col min="21" max="21" width="17" style="2" customWidth="1"/>
    <col min="22" max="16384" width="11.42578125" style="1"/>
  </cols>
  <sheetData>
    <row r="1" spans="1:21" x14ac:dyDescent="0.2">
      <c r="B1" s="116"/>
      <c r="C1" s="117"/>
      <c r="D1" s="117"/>
      <c r="E1" s="117"/>
      <c r="G1" s="53"/>
      <c r="H1" s="54"/>
      <c r="I1" s="54"/>
      <c r="J1" s="54"/>
    </row>
    <row r="2" spans="1:21" s="6" customFormat="1" ht="18.75" customHeight="1" x14ac:dyDescent="0.2">
      <c r="A2" s="4"/>
      <c r="B2" s="116" t="s">
        <v>29</v>
      </c>
      <c r="C2" s="117"/>
      <c r="D2" s="117"/>
      <c r="E2" s="117"/>
      <c r="F2" s="91" t="s">
        <v>44</v>
      </c>
      <c r="G2" s="45"/>
      <c r="H2" s="45"/>
      <c r="I2" s="45"/>
      <c r="J2" s="46"/>
      <c r="K2" s="7"/>
      <c r="L2" s="7"/>
      <c r="M2" s="7"/>
      <c r="N2" s="14"/>
    </row>
    <row r="3" spans="1:21" s="6" customFormat="1" ht="22.5" customHeight="1" x14ac:dyDescent="0.2">
      <c r="A3" s="63"/>
      <c r="B3" s="92"/>
      <c r="C3" s="93"/>
      <c r="D3" s="64"/>
      <c r="E3" s="64"/>
      <c r="F3" s="64"/>
      <c r="G3" s="65"/>
      <c r="H3" s="65"/>
      <c r="I3" s="65"/>
      <c r="J3" s="65"/>
      <c r="K3" s="65"/>
      <c r="L3" s="28"/>
      <c r="M3" s="7"/>
      <c r="N3" s="7"/>
      <c r="O3" s="14"/>
    </row>
    <row r="4" spans="1:21" s="10" customFormat="1" ht="12.75" customHeight="1" x14ac:dyDescent="0.2">
      <c r="A4" s="66"/>
      <c r="B4" s="93"/>
      <c r="C4" s="93"/>
      <c r="D4" s="67"/>
      <c r="E4" s="122" t="s">
        <v>77</v>
      </c>
      <c r="F4" s="122"/>
      <c r="G4" s="122"/>
      <c r="H4" s="122"/>
      <c r="I4" s="68"/>
      <c r="J4" s="68"/>
      <c r="K4" s="68"/>
      <c r="L4" s="9"/>
      <c r="M4" s="9"/>
      <c r="N4" s="9"/>
      <c r="O4" s="9"/>
      <c r="P4" s="9"/>
      <c r="Q4" s="9"/>
    </row>
    <row r="5" spans="1:21" s="10" customFormat="1" ht="16.5" customHeight="1" x14ac:dyDescent="0.2">
      <c r="A5" s="66"/>
      <c r="B5" s="95" t="s">
        <v>122</v>
      </c>
      <c r="C5" s="128" t="s">
        <v>124</v>
      </c>
      <c r="D5" s="69"/>
      <c r="E5" s="119" t="s">
        <v>82</v>
      </c>
      <c r="F5" s="120"/>
      <c r="G5" s="121"/>
      <c r="H5" s="70" t="s">
        <v>83</v>
      </c>
      <c r="I5" s="69"/>
      <c r="J5" s="69"/>
      <c r="K5" s="68"/>
      <c r="L5" s="9"/>
      <c r="M5" s="9"/>
      <c r="N5" s="9"/>
      <c r="O5" s="9"/>
      <c r="P5" s="9"/>
      <c r="Q5" s="9"/>
    </row>
    <row r="6" spans="1:21" s="10" customFormat="1" ht="18" customHeight="1" x14ac:dyDescent="0.2">
      <c r="A6" s="66"/>
      <c r="B6" s="96" t="s">
        <v>121</v>
      </c>
      <c r="C6" s="129"/>
      <c r="D6" s="69"/>
      <c r="E6" s="71" t="s">
        <v>72</v>
      </c>
      <c r="F6" s="71" t="s">
        <v>71</v>
      </c>
      <c r="G6" s="71" t="s">
        <v>75</v>
      </c>
      <c r="H6" s="71" t="s">
        <v>76</v>
      </c>
      <c r="I6" s="69"/>
      <c r="J6" s="69"/>
      <c r="K6" s="68"/>
      <c r="L6" s="9"/>
      <c r="M6" s="9"/>
      <c r="N6" s="9"/>
      <c r="O6" s="9"/>
      <c r="P6" s="9"/>
      <c r="Q6" s="9"/>
    </row>
    <row r="7" spans="1:21" s="10" customFormat="1" x14ac:dyDescent="0.2">
      <c r="A7" s="66"/>
      <c r="B7" s="72" t="s">
        <v>30</v>
      </c>
      <c r="C7" s="72" t="s">
        <v>30</v>
      </c>
      <c r="D7" s="69"/>
      <c r="E7" s="72" t="s">
        <v>30</v>
      </c>
      <c r="F7" s="72" t="s">
        <v>30</v>
      </c>
      <c r="G7" s="72" t="s">
        <v>30</v>
      </c>
      <c r="H7" s="72" t="s">
        <v>30</v>
      </c>
      <c r="I7" s="69"/>
      <c r="J7" s="69"/>
      <c r="K7" s="68"/>
      <c r="L7" s="9"/>
      <c r="M7" s="9"/>
      <c r="N7" s="9"/>
      <c r="O7" s="9"/>
      <c r="P7" s="9"/>
      <c r="Q7" s="9"/>
    </row>
    <row r="8" spans="1:21" s="10" customFormat="1" x14ac:dyDescent="0.2">
      <c r="A8" s="66"/>
      <c r="B8" s="42">
        <v>700</v>
      </c>
      <c r="C8" s="42">
        <v>90</v>
      </c>
      <c r="D8" s="69"/>
      <c r="E8" s="44">
        <v>90</v>
      </c>
      <c r="F8" s="42">
        <v>852</v>
      </c>
      <c r="G8" s="42">
        <v>350</v>
      </c>
      <c r="H8" s="42">
        <v>100</v>
      </c>
      <c r="I8" s="69"/>
      <c r="J8" s="69"/>
      <c r="K8" s="68"/>
      <c r="L8" s="9"/>
      <c r="M8" s="9"/>
      <c r="N8" s="9"/>
      <c r="O8" s="9"/>
      <c r="P8" s="9"/>
      <c r="Q8" s="9"/>
    </row>
    <row r="9" spans="1:21" s="31" customFormat="1" x14ac:dyDescent="0.2">
      <c r="A9" s="73"/>
      <c r="B9" s="74"/>
      <c r="C9" s="74"/>
      <c r="D9" s="74"/>
      <c r="E9" s="74"/>
      <c r="F9" s="75"/>
      <c r="G9" s="76"/>
      <c r="H9" s="76"/>
      <c r="I9" s="76"/>
      <c r="J9" s="76"/>
      <c r="K9" s="76"/>
      <c r="O9" s="30"/>
      <c r="P9" s="30"/>
      <c r="Q9" s="30"/>
      <c r="R9" s="30"/>
      <c r="S9" s="30"/>
      <c r="T9" s="30"/>
      <c r="U9" s="30"/>
    </row>
    <row r="10" spans="1:21" s="31" customFormat="1" x14ac:dyDescent="0.2">
      <c r="A10" s="73"/>
      <c r="B10" s="74"/>
      <c r="C10" s="74"/>
      <c r="D10" s="136" t="s">
        <v>62</v>
      </c>
      <c r="E10" s="136"/>
      <c r="F10" s="75"/>
      <c r="G10" s="76"/>
      <c r="H10" s="76"/>
      <c r="I10" s="76"/>
      <c r="J10" s="76"/>
      <c r="K10" s="76"/>
      <c r="O10" s="30"/>
      <c r="P10" s="30"/>
      <c r="Q10" s="30"/>
      <c r="R10" s="30"/>
      <c r="S10" s="30"/>
      <c r="T10" s="30"/>
      <c r="U10" s="30"/>
    </row>
    <row r="11" spans="1:21" s="31" customFormat="1" x14ac:dyDescent="0.2">
      <c r="A11" s="73"/>
      <c r="B11" s="74"/>
      <c r="C11" s="74"/>
      <c r="D11" s="77"/>
      <c r="E11" s="77"/>
      <c r="F11" s="75"/>
      <c r="G11" s="76"/>
      <c r="H11" s="76"/>
      <c r="I11" s="76"/>
      <c r="J11" s="76"/>
      <c r="K11" s="76"/>
      <c r="O11" s="30"/>
      <c r="P11" s="30"/>
      <c r="Q11" s="30"/>
      <c r="R11" s="30"/>
      <c r="S11" s="30"/>
      <c r="T11" s="30"/>
      <c r="U11" s="30"/>
    </row>
    <row r="12" spans="1:21" s="31" customFormat="1" x14ac:dyDescent="0.2">
      <c r="A12" s="73"/>
      <c r="B12" s="74"/>
      <c r="C12" s="74"/>
      <c r="D12" s="77"/>
      <c r="E12" s="77"/>
      <c r="F12" s="75"/>
      <c r="G12" s="76"/>
      <c r="H12" s="76"/>
      <c r="I12" s="76"/>
      <c r="J12" s="76"/>
      <c r="K12" s="76"/>
      <c r="O12" s="30"/>
      <c r="P12" s="30"/>
      <c r="Q12" s="30"/>
      <c r="R12" s="30"/>
      <c r="S12" s="30"/>
      <c r="T12" s="30"/>
      <c r="U12" s="30"/>
    </row>
    <row r="13" spans="1:21" s="10" customFormat="1" x14ac:dyDescent="0.2">
      <c r="A13" s="66"/>
      <c r="B13" s="140" t="s">
        <v>84</v>
      </c>
      <c r="C13" s="140"/>
      <c r="D13" s="140"/>
      <c r="E13" s="140"/>
      <c r="F13" s="140"/>
      <c r="G13" s="140"/>
      <c r="H13" s="68"/>
      <c r="I13" s="68"/>
      <c r="J13" s="68"/>
      <c r="K13" s="68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 ht="12.75" customHeight="1" x14ac:dyDescent="0.2">
      <c r="A14" s="63"/>
      <c r="B14" s="78" t="s">
        <v>67</v>
      </c>
      <c r="C14" s="78" t="s">
        <v>74</v>
      </c>
      <c r="D14" s="78" t="s">
        <v>91</v>
      </c>
      <c r="E14" s="78" t="s">
        <v>92</v>
      </c>
      <c r="F14" s="78" t="s">
        <v>93</v>
      </c>
      <c r="G14" s="78" t="s">
        <v>94</v>
      </c>
      <c r="H14" s="123" t="s">
        <v>90</v>
      </c>
      <c r="I14" s="124"/>
      <c r="J14" s="79"/>
      <c r="K14" s="79"/>
      <c r="L14" s="1"/>
      <c r="M14" s="1"/>
      <c r="O14" s="1"/>
      <c r="P14" s="1"/>
      <c r="Q14" s="1"/>
      <c r="R14" s="1"/>
      <c r="S14" s="1"/>
      <c r="T14" s="1"/>
      <c r="U14" s="1"/>
    </row>
    <row r="15" spans="1:21" s="12" customFormat="1" x14ac:dyDescent="0.2">
      <c r="A15" s="63"/>
      <c r="B15" s="80" t="s">
        <v>69</v>
      </c>
      <c r="C15" s="80" t="s">
        <v>70</v>
      </c>
      <c r="D15" s="80" t="s">
        <v>78</v>
      </c>
      <c r="E15" s="80" t="s">
        <v>79</v>
      </c>
      <c r="F15" s="80" t="s">
        <v>80</v>
      </c>
      <c r="G15" s="80" t="s">
        <v>81</v>
      </c>
      <c r="H15" s="125"/>
      <c r="I15" s="124"/>
      <c r="J15" s="81"/>
      <c r="K15" s="81"/>
    </row>
    <row r="16" spans="1:21" s="12" customFormat="1" x14ac:dyDescent="0.2">
      <c r="A16" s="63"/>
      <c r="B16" s="72" t="s">
        <v>73</v>
      </c>
      <c r="C16" s="72" t="s">
        <v>73</v>
      </c>
      <c r="D16" s="72" t="s">
        <v>73</v>
      </c>
      <c r="E16" s="72" t="s">
        <v>73</v>
      </c>
      <c r="F16" s="72" t="s">
        <v>73</v>
      </c>
      <c r="G16" s="72" t="s">
        <v>73</v>
      </c>
      <c r="H16" s="126"/>
      <c r="I16" s="127"/>
      <c r="J16" s="81"/>
      <c r="K16" s="81"/>
      <c r="L16" s="13"/>
    </row>
    <row r="17" spans="1:32" s="12" customFormat="1" x14ac:dyDescent="0.2">
      <c r="A17" s="63"/>
      <c r="B17" s="42">
        <v>15</v>
      </c>
      <c r="C17" s="42">
        <v>100</v>
      </c>
      <c r="D17" s="42">
        <v>10</v>
      </c>
      <c r="E17" s="42">
        <v>10</v>
      </c>
      <c r="F17" s="42">
        <v>10</v>
      </c>
      <c r="G17" s="42">
        <v>10</v>
      </c>
      <c r="J17" s="81"/>
      <c r="K17" s="81"/>
      <c r="L17" s="13"/>
      <c r="M17" s="13"/>
    </row>
    <row r="18" spans="1:32" s="12" customFormat="1" ht="12.75" customHeight="1" x14ac:dyDescent="0.2">
      <c r="A18" s="63"/>
      <c r="B18" s="81"/>
      <c r="C18" s="81"/>
      <c r="D18" s="81"/>
      <c r="E18" s="81"/>
      <c r="F18" s="81"/>
      <c r="G18" s="81"/>
      <c r="H18" s="81"/>
      <c r="I18" s="81"/>
      <c r="J18" s="81"/>
      <c r="K18" s="81"/>
      <c r="Y18" s="13"/>
      <c r="Z18" s="13"/>
      <c r="AA18" s="13"/>
      <c r="AB18" s="13"/>
      <c r="AC18" s="13"/>
      <c r="AD18" s="13"/>
      <c r="AE18" s="13"/>
      <c r="AF18" s="13"/>
    </row>
    <row r="19" spans="1:32" s="12" customFormat="1" ht="12.75" customHeight="1" x14ac:dyDescent="0.2">
      <c r="A19" s="4"/>
      <c r="Y19" s="13"/>
      <c r="Z19" s="13"/>
      <c r="AA19" s="13"/>
      <c r="AB19" s="13"/>
      <c r="AC19" s="13"/>
      <c r="AD19" s="13"/>
      <c r="AE19" s="13"/>
      <c r="AF19" s="13"/>
    </row>
    <row r="20" spans="1:32" s="12" customFormat="1" ht="12.75" customHeight="1" x14ac:dyDescent="0.2">
      <c r="A20" s="4"/>
      <c r="Y20" s="13"/>
      <c r="Z20" s="13"/>
      <c r="AA20" s="13"/>
      <c r="AB20" s="13"/>
      <c r="AC20" s="13"/>
      <c r="AD20" s="13"/>
      <c r="AE20" s="13"/>
      <c r="AF20" s="13"/>
    </row>
    <row r="21" spans="1:32" s="12" customFormat="1" ht="12.75" customHeight="1" x14ac:dyDescent="0.2">
      <c r="A21" s="4"/>
      <c r="Y21" s="13"/>
      <c r="Z21" s="13"/>
      <c r="AA21" s="13"/>
      <c r="AB21" s="13"/>
      <c r="AC21" s="13"/>
      <c r="AD21" s="13"/>
      <c r="AE21" s="13"/>
      <c r="AF21" s="13"/>
    </row>
    <row r="22" spans="1:32" s="12" customFormat="1" ht="12.75" customHeight="1" x14ac:dyDescent="0.2">
      <c r="A22" s="4"/>
      <c r="D22" s="90"/>
      <c r="E22" s="90"/>
      <c r="Y22" s="13"/>
      <c r="Z22" s="13"/>
      <c r="AA22" s="13"/>
      <c r="AB22" s="13"/>
      <c r="AC22" s="13"/>
      <c r="AD22" s="13"/>
      <c r="AE22" s="13"/>
      <c r="AF22" s="13"/>
    </row>
    <row r="23" spans="1:32" s="12" customFormat="1" ht="12.75" customHeight="1" x14ac:dyDescent="0.2">
      <c r="A23" s="4"/>
      <c r="Y23" s="13"/>
      <c r="Z23" s="13"/>
      <c r="AA23" s="13"/>
      <c r="AB23" s="13"/>
      <c r="AC23" s="13"/>
      <c r="AD23" s="13"/>
      <c r="AE23" s="13"/>
      <c r="AF23" s="13"/>
    </row>
    <row r="24" spans="1:32" s="12" customFormat="1" ht="12.75" customHeight="1" x14ac:dyDescent="0.2">
      <c r="A24" s="4"/>
      <c r="Y24" s="13"/>
      <c r="Z24" s="13"/>
      <c r="AA24" s="13"/>
      <c r="AB24" s="13"/>
      <c r="AC24" s="13"/>
      <c r="AD24" s="13"/>
      <c r="AE24" s="13"/>
      <c r="AF24" s="13"/>
    </row>
    <row r="25" spans="1:32" s="12" customFormat="1" ht="12.75" customHeight="1" x14ac:dyDescent="0.2">
      <c r="A25" s="4"/>
      <c r="B25" s="118" t="s">
        <v>28</v>
      </c>
      <c r="C25" s="118"/>
      <c r="D25" s="118"/>
      <c r="Y25" s="13"/>
      <c r="Z25" s="13"/>
      <c r="AA25" s="13"/>
      <c r="AB25" s="13"/>
      <c r="AC25" s="13"/>
      <c r="AD25" s="13"/>
      <c r="AE25" s="13"/>
      <c r="AF25" s="13"/>
    </row>
    <row r="26" spans="1:32" s="12" customFormat="1" ht="12.75" customHeight="1" x14ac:dyDescent="0.2">
      <c r="A26" s="4"/>
      <c r="B26" s="15" t="s">
        <v>0</v>
      </c>
      <c r="C26" s="21">
        <f t="array" ref="C26:C37">MMULT(MINVERSE(B50:M61),N50:N61)</f>
        <v>19404.224275994304</v>
      </c>
      <c r="D26" s="32" t="s">
        <v>60</v>
      </c>
      <c r="Y26" s="13"/>
      <c r="Z26" s="13"/>
      <c r="AA26" s="13"/>
      <c r="AB26" s="13"/>
      <c r="AC26" s="13"/>
      <c r="AD26" s="13"/>
      <c r="AE26" s="13"/>
      <c r="AF26" s="13"/>
    </row>
    <row r="27" spans="1:32" s="12" customFormat="1" ht="12.75" customHeight="1" x14ac:dyDescent="0.2">
      <c r="A27" s="4"/>
      <c r="B27" s="15" t="s">
        <v>1</v>
      </c>
      <c r="C27" s="21">
        <v>1031.691293047372</v>
      </c>
      <c r="D27" s="32" t="s">
        <v>60</v>
      </c>
      <c r="Y27" s="13"/>
      <c r="Z27" s="13"/>
      <c r="AA27" s="13"/>
      <c r="AB27" s="13"/>
      <c r="AC27" s="13"/>
      <c r="AD27" s="13"/>
      <c r="AE27" s="13"/>
      <c r="AF27" s="13"/>
    </row>
    <row r="28" spans="1:32" s="12" customFormat="1" ht="12.75" customHeight="1" x14ac:dyDescent="0.2">
      <c r="A28" s="4"/>
      <c r="B28" s="16" t="s">
        <v>2</v>
      </c>
      <c r="C28" s="21">
        <v>-19404.2242759943</v>
      </c>
      <c r="D28" s="32" t="s">
        <v>60</v>
      </c>
      <c r="Y28" s="13"/>
      <c r="Z28" s="13"/>
      <c r="AA28" s="13"/>
      <c r="AB28" s="13"/>
      <c r="AC28" s="13"/>
      <c r="AD28" s="13"/>
      <c r="AE28" s="13"/>
      <c r="AF28" s="13"/>
    </row>
    <row r="29" spans="1:32" s="12" customFormat="1" ht="12.75" customHeight="1" x14ac:dyDescent="0.2">
      <c r="A29" s="4"/>
      <c r="B29" s="16" t="s">
        <v>3</v>
      </c>
      <c r="C29" s="21">
        <v>-713.38258609474394</v>
      </c>
      <c r="D29" s="32" t="s">
        <v>60</v>
      </c>
      <c r="Y29" s="13"/>
      <c r="Z29" s="13"/>
      <c r="AA29" s="13"/>
      <c r="AB29" s="13"/>
      <c r="AC29" s="13"/>
      <c r="AD29" s="13"/>
      <c r="AE29" s="13"/>
      <c r="AF29" s="13"/>
    </row>
    <row r="30" spans="1:32" s="12" customFormat="1" ht="12.75" customHeight="1" x14ac:dyDescent="0.2">
      <c r="A30" s="4"/>
      <c r="B30" s="17" t="s">
        <v>4</v>
      </c>
      <c r="C30" s="21">
        <v>-19404.224275994304</v>
      </c>
      <c r="D30" s="32" t="s">
        <v>60</v>
      </c>
      <c r="Y30" s="13"/>
      <c r="Z30" s="13"/>
      <c r="AA30" s="13"/>
      <c r="AB30" s="13"/>
      <c r="AC30" s="13"/>
      <c r="AD30" s="13"/>
      <c r="AE30" s="13"/>
      <c r="AF30" s="13"/>
    </row>
    <row r="31" spans="1:32" s="12" customFormat="1" ht="12.75" customHeight="1" x14ac:dyDescent="0.2">
      <c r="A31" s="4"/>
      <c r="B31" s="17" t="s">
        <v>5</v>
      </c>
      <c r="C31" s="21">
        <v>318.30870695262803</v>
      </c>
      <c r="D31" s="32" t="s">
        <v>60</v>
      </c>
      <c r="V31" s="13"/>
      <c r="W31" s="13"/>
      <c r="X31" s="13"/>
      <c r="Y31" s="13"/>
      <c r="Z31" s="13"/>
      <c r="AA31" s="13"/>
      <c r="AB31" s="13"/>
      <c r="AC31" s="13"/>
    </row>
    <row r="32" spans="1:32" s="12" customFormat="1" ht="12.75" customHeight="1" x14ac:dyDescent="0.2">
      <c r="A32" s="4"/>
      <c r="B32" s="18" t="s">
        <v>6</v>
      </c>
      <c r="C32" s="21">
        <v>-61317.348712141989</v>
      </c>
      <c r="D32" s="32" t="s">
        <v>60</v>
      </c>
      <c r="Y32" s="13"/>
      <c r="Z32" s="13"/>
      <c r="AA32" s="13"/>
      <c r="AB32" s="13"/>
      <c r="AC32" s="13"/>
      <c r="AD32" s="13"/>
      <c r="AE32" s="13"/>
      <c r="AF32" s="13"/>
    </row>
    <row r="33" spans="1:32" s="12" customFormat="1" ht="12.75" customHeight="1" x14ac:dyDescent="0.2">
      <c r="A33" s="4"/>
      <c r="B33" s="18" t="s">
        <v>7</v>
      </c>
      <c r="C33" s="21">
        <v>-713.38258609474315</v>
      </c>
      <c r="D33" s="32" t="s">
        <v>60</v>
      </c>
      <c r="Y33" s="13"/>
      <c r="Z33" s="13"/>
      <c r="AA33" s="13"/>
      <c r="AB33" s="13"/>
      <c r="AC33" s="13"/>
      <c r="AD33" s="13"/>
      <c r="AE33" s="13"/>
      <c r="AF33" s="13"/>
    </row>
    <row r="34" spans="1:32" s="12" customFormat="1" ht="12.75" customHeight="1" x14ac:dyDescent="0.2">
      <c r="A34" s="4"/>
      <c r="B34" s="19" t="s">
        <v>98</v>
      </c>
      <c r="C34" s="21">
        <v>-41913.124436147686</v>
      </c>
      <c r="D34" s="32" t="s">
        <v>60</v>
      </c>
      <c r="V34" s="13"/>
      <c r="W34" s="13"/>
      <c r="X34" s="13"/>
      <c r="Y34" s="13"/>
      <c r="Z34" s="13"/>
      <c r="AA34" s="13"/>
      <c r="AB34" s="13"/>
      <c r="AC34" s="13"/>
    </row>
    <row r="35" spans="1:32" s="12" customFormat="1" ht="12.75" customHeight="1" x14ac:dyDescent="0.2">
      <c r="A35" s="4"/>
      <c r="B35" s="19" t="s">
        <v>100</v>
      </c>
      <c r="C35" s="21">
        <v>418.30870695262809</v>
      </c>
      <c r="D35" s="32" t="s">
        <v>60</v>
      </c>
      <c r="V35" s="13"/>
      <c r="W35" s="13"/>
      <c r="X35" s="13"/>
      <c r="Y35" s="13"/>
      <c r="Z35" s="13"/>
      <c r="AA35" s="13"/>
      <c r="AB35" s="13"/>
      <c r="AC35" s="13"/>
    </row>
    <row r="36" spans="1:32" s="12" customFormat="1" ht="12.75" customHeight="1" x14ac:dyDescent="0.2">
      <c r="A36" s="4"/>
      <c r="B36" s="20" t="s">
        <v>99</v>
      </c>
      <c r="C36" s="21">
        <v>41913.124436147686</v>
      </c>
      <c r="D36" s="32" t="s">
        <v>60</v>
      </c>
      <c r="V36" s="13"/>
      <c r="W36" s="13"/>
      <c r="X36" s="13"/>
      <c r="Y36" s="13"/>
      <c r="Z36" s="13"/>
      <c r="AA36" s="13"/>
      <c r="AB36" s="13"/>
      <c r="AC36" s="13"/>
    </row>
    <row r="37" spans="1:32" s="12" customFormat="1" ht="12.75" customHeight="1" x14ac:dyDescent="0.2">
      <c r="A37" s="4"/>
      <c r="B37" s="20" t="s">
        <v>101</v>
      </c>
      <c r="C37" s="21">
        <v>-295.07387914211449</v>
      </c>
      <c r="D37" s="32" t="s">
        <v>60</v>
      </c>
      <c r="V37" s="13"/>
      <c r="W37" s="13"/>
      <c r="X37" s="13"/>
      <c r="Y37" s="13"/>
      <c r="Z37" s="13"/>
      <c r="AA37" s="13"/>
      <c r="AB37" s="13"/>
      <c r="AC37" s="13"/>
    </row>
    <row r="38" spans="1:32" s="12" customFormat="1" ht="12.75" customHeight="1" x14ac:dyDescent="0.2">
      <c r="A38" s="4"/>
      <c r="V38" s="13"/>
      <c r="W38" s="13"/>
      <c r="X38" s="13"/>
      <c r="Y38" s="13"/>
      <c r="Z38" s="13"/>
      <c r="AA38" s="13"/>
      <c r="AB38" s="13"/>
      <c r="AC38" s="13"/>
    </row>
    <row r="39" spans="1:32" s="12" customFormat="1" ht="12.75" customHeight="1" x14ac:dyDescent="0.2">
      <c r="A39" s="4"/>
      <c r="B39" s="88" t="s">
        <v>120</v>
      </c>
      <c r="C39" s="94">
        <f>XRb</f>
        <v>-41913.124436147686</v>
      </c>
      <c r="D39" s="12" t="s">
        <v>60</v>
      </c>
      <c r="Y39" s="13"/>
      <c r="Z39" s="13"/>
      <c r="AA39" s="13"/>
      <c r="AB39" s="13"/>
      <c r="AC39" s="13"/>
      <c r="AD39" s="13"/>
      <c r="AE39" s="13"/>
      <c r="AF39" s="13"/>
    </row>
    <row r="40" spans="1:32" s="12" customFormat="1" ht="12.75" customHeight="1" x14ac:dyDescent="0.2">
      <c r="A40" s="4"/>
      <c r="B40" s="133" t="s">
        <v>123</v>
      </c>
      <c r="C40" s="133"/>
      <c r="D40" s="133"/>
      <c r="Y40" s="13"/>
      <c r="Z40" s="13"/>
      <c r="AA40" s="13"/>
      <c r="AB40" s="13"/>
      <c r="AC40" s="13"/>
      <c r="AD40" s="13"/>
      <c r="AE40" s="13"/>
      <c r="AF40" s="13"/>
    </row>
    <row r="41" spans="1:32" s="12" customFormat="1" ht="12.75" customHeight="1" thickBot="1" x14ac:dyDescent="0.25">
      <c r="A41" s="4"/>
      <c r="C41" s="88"/>
      <c r="Y41" s="13"/>
      <c r="Z41" s="13"/>
      <c r="AA41" s="13"/>
      <c r="AB41" s="13"/>
      <c r="AC41" s="13"/>
      <c r="AD41" s="13"/>
      <c r="AE41" s="13"/>
      <c r="AF41" s="13"/>
    </row>
    <row r="42" spans="1:32" s="12" customFormat="1" ht="12.75" customHeight="1" x14ac:dyDescent="0.2">
      <c r="A42" s="4"/>
      <c r="B42" s="102" t="s">
        <v>118</v>
      </c>
      <c r="C42" s="103">
        <f>YRb+YRd</f>
        <v>123.23482781051359</v>
      </c>
      <c r="D42" s="104" t="s">
        <v>125</v>
      </c>
      <c r="E42" s="104"/>
      <c r="F42" s="104"/>
      <c r="G42" s="105" t="s">
        <v>115</v>
      </c>
      <c r="H42" s="105" t="s">
        <v>116</v>
      </c>
      <c r="I42" s="134" t="s">
        <v>117</v>
      </c>
      <c r="J42" s="135"/>
      <c r="W42" s="13"/>
      <c r="X42" s="13"/>
      <c r="Y42" s="13"/>
      <c r="Z42" s="13"/>
      <c r="AA42" s="13"/>
      <c r="AB42" s="13"/>
      <c r="AC42" s="13"/>
      <c r="AD42" s="13"/>
    </row>
    <row r="43" spans="1:32" s="12" customFormat="1" ht="12.75" customHeight="1" x14ac:dyDescent="0.2">
      <c r="A43" s="4"/>
      <c r="B43" s="106" t="s">
        <v>119</v>
      </c>
      <c r="C43" s="107">
        <f>-SUM(B17:G17)*g</f>
        <v>-1550</v>
      </c>
      <c r="D43" s="108"/>
      <c r="E43" s="108"/>
      <c r="F43" s="108" t="s">
        <v>112</v>
      </c>
      <c r="G43" s="107">
        <v>588.6</v>
      </c>
      <c r="H43" s="107">
        <v>588.6</v>
      </c>
      <c r="I43" s="107" t="s">
        <v>115</v>
      </c>
      <c r="J43" s="109" t="s">
        <v>116</v>
      </c>
      <c r="W43" s="13"/>
      <c r="X43" s="13"/>
      <c r="Y43" s="13"/>
      <c r="Z43" s="13"/>
      <c r="AA43" s="13"/>
      <c r="AB43" s="13"/>
      <c r="AC43" s="13"/>
      <c r="AD43" s="13"/>
    </row>
    <row r="44" spans="1:32" s="12" customFormat="1" x14ac:dyDescent="0.2">
      <c r="A44" s="4"/>
      <c r="B44" s="106"/>
      <c r="C44" s="82"/>
      <c r="D44" s="108"/>
      <c r="E44" s="108"/>
      <c r="F44" s="82" t="s">
        <v>113</v>
      </c>
      <c r="G44" s="107">
        <v>981</v>
      </c>
      <c r="H44" s="107">
        <v>0</v>
      </c>
      <c r="I44" s="107">
        <f>G43+G44</f>
        <v>1569.6</v>
      </c>
      <c r="J44" s="109">
        <v>0</v>
      </c>
      <c r="W44" s="13"/>
      <c r="X44" s="13"/>
      <c r="Y44" s="13"/>
      <c r="Z44" s="13"/>
      <c r="AA44" s="13"/>
      <c r="AB44" s="13"/>
      <c r="AC44" s="13"/>
      <c r="AD44" s="13"/>
    </row>
    <row r="45" spans="1:32" s="12" customFormat="1" x14ac:dyDescent="0.2">
      <c r="A45" s="4"/>
      <c r="B45" s="106"/>
      <c r="C45" s="108"/>
      <c r="D45" s="108"/>
      <c r="E45" s="108"/>
      <c r="F45" s="82" t="s">
        <v>114</v>
      </c>
      <c r="G45" s="107">
        <v>0</v>
      </c>
      <c r="H45" s="107">
        <v>981</v>
      </c>
      <c r="I45" s="107">
        <v>0</v>
      </c>
      <c r="J45" s="109">
        <f>H43+H45</f>
        <v>1569.6</v>
      </c>
      <c r="Y45" s="13"/>
      <c r="Z45" s="13"/>
      <c r="AA45" s="13"/>
      <c r="AB45" s="13"/>
      <c r="AC45" s="13"/>
      <c r="AD45" s="13"/>
      <c r="AE45" s="13"/>
      <c r="AF45" s="13"/>
    </row>
    <row r="46" spans="1:32" s="12" customFormat="1" x14ac:dyDescent="0.2">
      <c r="A46" s="4"/>
      <c r="B46" s="110" t="s">
        <v>22</v>
      </c>
      <c r="C46" s="108"/>
      <c r="D46" s="82" t="s">
        <v>46</v>
      </c>
      <c r="E46" s="82" t="s">
        <v>47</v>
      </c>
      <c r="F46" s="108"/>
      <c r="G46" s="108"/>
      <c r="H46" s="108"/>
      <c r="I46" s="108"/>
      <c r="J46" s="111"/>
      <c r="X46" s="13"/>
      <c r="Y46" s="13"/>
      <c r="Z46" s="13"/>
      <c r="AA46" s="13"/>
      <c r="AB46" s="13"/>
      <c r="AC46" s="13"/>
      <c r="AD46" s="13"/>
      <c r="AE46" s="13"/>
    </row>
    <row r="47" spans="1:32" s="12" customFormat="1" ht="13.5" thickBot="1" x14ac:dyDescent="0.25">
      <c r="A47" s="4"/>
      <c r="B47" s="112">
        <f>Xg</f>
        <v>698.55207393579474</v>
      </c>
      <c r="C47" s="113"/>
      <c r="D47" s="114">
        <f>Rh</f>
        <v>931.69129304737191</v>
      </c>
      <c r="E47" s="114">
        <f>Rg</f>
        <v>218.30870695262809</v>
      </c>
      <c r="F47" s="113"/>
      <c r="G47" s="113"/>
      <c r="H47" s="113"/>
      <c r="I47" s="113"/>
      <c r="J47" s="115"/>
      <c r="X47" s="13"/>
      <c r="Y47" s="13"/>
      <c r="Z47" s="13"/>
      <c r="AA47" s="13"/>
      <c r="AB47" s="13"/>
      <c r="AC47" s="13"/>
      <c r="AD47" s="13"/>
      <c r="AE47" s="13"/>
    </row>
    <row r="48" spans="1:32" s="10" customFormat="1" x14ac:dyDescent="0.2">
      <c r="A48" s="4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</row>
    <row r="49" spans="1:20" s="10" customFormat="1" ht="18" x14ac:dyDescent="0.25">
      <c r="A49" s="4"/>
      <c r="B49" s="5" t="s">
        <v>0</v>
      </c>
      <c r="C49" s="5" t="s">
        <v>1</v>
      </c>
      <c r="D49" s="5" t="s">
        <v>2</v>
      </c>
      <c r="E49" s="5" t="s">
        <v>3</v>
      </c>
      <c r="F49" s="5" t="s">
        <v>4</v>
      </c>
      <c r="G49" s="5" t="s">
        <v>5</v>
      </c>
      <c r="H49" s="5" t="s">
        <v>6</v>
      </c>
      <c r="I49" s="5" t="s">
        <v>7</v>
      </c>
      <c r="J49" s="55" t="s">
        <v>98</v>
      </c>
      <c r="K49" s="55" t="s">
        <v>100</v>
      </c>
      <c r="L49" s="5" t="s">
        <v>99</v>
      </c>
      <c r="M49" s="5" t="s">
        <v>101</v>
      </c>
      <c r="N49" s="23" t="s">
        <v>26</v>
      </c>
      <c r="P49" s="47" t="s">
        <v>64</v>
      </c>
    </row>
    <row r="50" spans="1:20" s="31" customFormat="1" x14ac:dyDescent="0.2">
      <c r="A50" s="41" t="s">
        <v>48</v>
      </c>
      <c r="B50" s="37">
        <f>1</f>
        <v>1</v>
      </c>
      <c r="C50" s="37">
        <f>0</f>
        <v>0</v>
      </c>
      <c r="D50" s="37">
        <f>1</f>
        <v>1</v>
      </c>
      <c r="E50" s="37">
        <f>0</f>
        <v>0</v>
      </c>
      <c r="F50" s="37">
        <f>0</f>
        <v>0</v>
      </c>
      <c r="G50" s="37">
        <f>0</f>
        <v>0</v>
      </c>
      <c r="H50" s="37">
        <f>0</f>
        <v>0</v>
      </c>
      <c r="I50" s="37">
        <f>0</f>
        <v>0</v>
      </c>
      <c r="J50" s="37">
        <f>0</f>
        <v>0</v>
      </c>
      <c r="K50" s="37">
        <f>0</f>
        <v>0</v>
      </c>
      <c r="L50" s="37">
        <f>0</f>
        <v>0</v>
      </c>
      <c r="M50" s="37">
        <f>0</f>
        <v>0</v>
      </c>
      <c r="N50" s="50">
        <f>0</f>
        <v>0</v>
      </c>
      <c r="P50" s="51">
        <f t="array" ref="P50">SUMPRODUCT($C$26:$C$37,TRANSPOSE(B50:M50))-N50</f>
        <v>3.637978807091713E-12</v>
      </c>
    </row>
    <row r="51" spans="1:20" s="31" customFormat="1" x14ac:dyDescent="0.2">
      <c r="A51" s="41" t="s">
        <v>49</v>
      </c>
      <c r="B51" s="37">
        <f>0</f>
        <v>0</v>
      </c>
      <c r="C51" s="37">
        <f>1</f>
        <v>1</v>
      </c>
      <c r="D51" s="37">
        <f>0</f>
        <v>0</v>
      </c>
      <c r="E51" s="37">
        <f>1</f>
        <v>1</v>
      </c>
      <c r="F51" s="37">
        <f>0</f>
        <v>0</v>
      </c>
      <c r="G51" s="37">
        <f>0</f>
        <v>0</v>
      </c>
      <c r="H51" s="37">
        <f>0</f>
        <v>0</v>
      </c>
      <c r="I51" s="37">
        <f>0</f>
        <v>0</v>
      </c>
      <c r="J51" s="37">
        <f>0</f>
        <v>0</v>
      </c>
      <c r="K51" s="37">
        <f>0</f>
        <v>0</v>
      </c>
      <c r="L51" s="37">
        <f>0</f>
        <v>0</v>
      </c>
      <c r="M51" s="37">
        <f>0</f>
        <v>0</v>
      </c>
      <c r="N51" s="50">
        <f>-Fg-Pb1_</f>
        <v>318.30870695262809</v>
      </c>
      <c r="P51" s="51">
        <f t="array" ref="P51">SUMPRODUCT($C$26:$C$37,TRANSPOSE(B51:M51))-N51</f>
        <v>0</v>
      </c>
    </row>
    <row r="52" spans="1:20" s="31" customFormat="1" x14ac:dyDescent="0.2">
      <c r="A52" s="41" t="s">
        <v>50</v>
      </c>
      <c r="B52" s="37">
        <f>-Yf</f>
        <v>-45</v>
      </c>
      <c r="C52" s="37">
        <f>0</f>
        <v>0</v>
      </c>
      <c r="D52" s="37">
        <f>-Yk</f>
        <v>-67.5</v>
      </c>
      <c r="E52" s="37">
        <f>Xk</f>
        <v>349.27603696789737</v>
      </c>
      <c r="F52" s="37">
        <f>0</f>
        <v>0</v>
      </c>
      <c r="G52" s="37">
        <f>0</f>
        <v>0</v>
      </c>
      <c r="H52" s="37">
        <f>0</f>
        <v>0</v>
      </c>
      <c r="I52" s="37">
        <f>0</f>
        <v>0</v>
      </c>
      <c r="J52" s="37">
        <f>0</f>
        <v>0</v>
      </c>
      <c r="K52" s="37">
        <f>0</f>
        <v>0</v>
      </c>
      <c r="L52" s="37">
        <f>0</f>
        <v>0</v>
      </c>
      <c r="M52" s="37">
        <f>0</f>
        <v>0</v>
      </c>
      <c r="N52" s="50">
        <f>-Xg*Fg-Xk*Pb1_</f>
        <v>187427.60369678974</v>
      </c>
      <c r="P52" s="51">
        <f t="array" ref="P52">SUMPRODUCT($C$26:$C$37,TRANSPOSE(B52:M52))-N52</f>
        <v>0</v>
      </c>
    </row>
    <row r="53" spans="1:20" s="31" customFormat="1" x14ac:dyDescent="0.2">
      <c r="A53" s="41" t="s">
        <v>51</v>
      </c>
      <c r="B53" s="37">
        <f>0</f>
        <v>0</v>
      </c>
      <c r="C53" s="37">
        <f>0</f>
        <v>0</v>
      </c>
      <c r="D53" s="37">
        <f>-1</f>
        <v>-1</v>
      </c>
      <c r="E53" s="37">
        <f>0</f>
        <v>0</v>
      </c>
      <c r="F53" s="37">
        <f>1</f>
        <v>1</v>
      </c>
      <c r="G53" s="37">
        <f>0</f>
        <v>0</v>
      </c>
      <c r="H53" s="37">
        <f>0</f>
        <v>0</v>
      </c>
      <c r="I53" s="37">
        <f>0</f>
        <v>0</v>
      </c>
      <c r="J53" s="37">
        <f>0</f>
        <v>0</v>
      </c>
      <c r="K53" s="37">
        <f>0</f>
        <v>0</v>
      </c>
      <c r="L53" s="37">
        <f>0</f>
        <v>0</v>
      </c>
      <c r="M53" s="37">
        <f>0</f>
        <v>0</v>
      </c>
      <c r="N53" s="50">
        <f>0</f>
        <v>0</v>
      </c>
      <c r="P53" s="51">
        <f t="array" ref="P53">SUMPRODUCT($C$26:$C$37,TRANSPOSE(B53:M53))-N53</f>
        <v>-3.637978807091713E-12</v>
      </c>
    </row>
    <row r="54" spans="1:20" s="31" customFormat="1" x14ac:dyDescent="0.2">
      <c r="A54" s="41" t="s">
        <v>52</v>
      </c>
      <c r="B54" s="37">
        <f>0</f>
        <v>0</v>
      </c>
      <c r="C54" s="37">
        <f>0</f>
        <v>0</v>
      </c>
      <c r="D54" s="37">
        <f>0</f>
        <v>0</v>
      </c>
      <c r="E54" s="37">
        <f>-1</f>
        <v>-1</v>
      </c>
      <c r="F54" s="37">
        <f>0</f>
        <v>0</v>
      </c>
      <c r="G54" s="37">
        <f>1</f>
        <v>1</v>
      </c>
      <c r="H54" s="37">
        <f>0</f>
        <v>0</v>
      </c>
      <c r="I54" s="37">
        <f>0</f>
        <v>0</v>
      </c>
      <c r="J54" s="37">
        <f>0</f>
        <v>0</v>
      </c>
      <c r="K54" s="37">
        <f>0</f>
        <v>0</v>
      </c>
      <c r="L54" s="37">
        <f>0</f>
        <v>0</v>
      </c>
      <c r="M54" s="37">
        <f>0</f>
        <v>0</v>
      </c>
      <c r="N54" s="50">
        <f>-Fh-Pb2_</f>
        <v>1031.6912930473718</v>
      </c>
      <c r="P54" s="51">
        <f t="array" ref="P54">SUMPRODUCT($C$26:$C$37,TRANSPOSE(B54:M54))-N54</f>
        <v>0</v>
      </c>
    </row>
    <row r="55" spans="1:20" s="31" customFormat="1" x14ac:dyDescent="0.2">
      <c r="A55" s="41" t="s">
        <v>53</v>
      </c>
      <c r="B55" s="37">
        <f>0</f>
        <v>0</v>
      </c>
      <c r="C55" s="37">
        <f>0</f>
        <v>0</v>
      </c>
      <c r="D55" s="37">
        <f>Yk</f>
        <v>67.5</v>
      </c>
      <c r="E55" s="37">
        <f>-Xk</f>
        <v>-349.27603696789737</v>
      </c>
      <c r="F55" s="37">
        <f>-Ye</f>
        <v>-45</v>
      </c>
      <c r="G55" s="37">
        <f>Xe</f>
        <v>698.55207393579474</v>
      </c>
      <c r="H55" s="37">
        <f>0</f>
        <v>0</v>
      </c>
      <c r="I55" s="37">
        <f>0</f>
        <v>0</v>
      </c>
      <c r="J55" s="37">
        <f>0</f>
        <v>0</v>
      </c>
      <c r="K55" s="37">
        <f>0</f>
        <v>0</v>
      </c>
      <c r="L55" s="37">
        <f>0</f>
        <v>0</v>
      </c>
      <c r="M55" s="37">
        <f>0</f>
        <v>0</v>
      </c>
      <c r="N55" s="50">
        <f>-Xk*Pb2_</f>
        <v>34927.603696789738</v>
      </c>
      <c r="P55" s="51">
        <f t="array" ref="P55">SUMPRODUCT($C$26:$C$37,TRANSPOSE(B55:M55))-N55</f>
        <v>0</v>
      </c>
    </row>
    <row r="56" spans="1:20" s="31" customFormat="1" x14ac:dyDescent="0.2">
      <c r="A56" s="41" t="s">
        <v>54</v>
      </c>
      <c r="B56" s="37">
        <f>0</f>
        <v>0</v>
      </c>
      <c r="C56" s="37">
        <f>0</f>
        <v>0</v>
      </c>
      <c r="D56" s="37">
        <f>0</f>
        <v>0</v>
      </c>
      <c r="E56" s="37">
        <f>0</f>
        <v>0</v>
      </c>
      <c r="F56" s="37">
        <f>-1</f>
        <v>-1</v>
      </c>
      <c r="G56" s="37">
        <f>0</f>
        <v>0</v>
      </c>
      <c r="H56" s="37">
        <f>1</f>
        <v>1</v>
      </c>
      <c r="I56" s="37">
        <f>0</f>
        <v>0</v>
      </c>
      <c r="J56" s="37">
        <f>0</f>
        <v>0</v>
      </c>
      <c r="K56" s="37">
        <f>0</f>
        <v>0</v>
      </c>
      <c r="L56" s="37">
        <f>1</f>
        <v>1</v>
      </c>
      <c r="M56" s="37">
        <f>0</f>
        <v>0</v>
      </c>
      <c r="N56" s="50">
        <f>0</f>
        <v>0</v>
      </c>
      <c r="P56" s="51">
        <f t="array" ref="P56">SUMPRODUCT($C$26:$C$37,TRANSPOSE(B56:M56))-N56</f>
        <v>0</v>
      </c>
    </row>
    <row r="57" spans="1:20" s="31" customFormat="1" x14ac:dyDescent="0.2">
      <c r="A57" s="41" t="s">
        <v>55</v>
      </c>
      <c r="B57" s="37">
        <f>0</f>
        <v>0</v>
      </c>
      <c r="C57" s="37">
        <f>0</f>
        <v>0</v>
      </c>
      <c r="D57" s="37">
        <f>0</f>
        <v>0</v>
      </c>
      <c r="E57" s="37">
        <f>0</f>
        <v>0</v>
      </c>
      <c r="F57" s="37">
        <f>0</f>
        <v>0</v>
      </c>
      <c r="G57" s="37">
        <f>-1</f>
        <v>-1</v>
      </c>
      <c r="H57" s="37">
        <f>0</f>
        <v>0</v>
      </c>
      <c r="I57" s="37">
        <f>-1</f>
        <v>-1</v>
      </c>
      <c r="J57" s="37">
        <f>0</f>
        <v>0</v>
      </c>
      <c r="K57" s="37">
        <f>0</f>
        <v>0</v>
      </c>
      <c r="L57" s="37">
        <f>0</f>
        <v>0</v>
      </c>
      <c r="M57" s="37">
        <f>1</f>
        <v>1</v>
      </c>
      <c r="N57" s="50">
        <f>-Pb3_</f>
        <v>100</v>
      </c>
      <c r="P57" s="51">
        <f t="array" ref="P57">SUMPRODUCT($C$26:$C$37,TRANSPOSE(B57:M57))-N57</f>
        <v>6.2527760746888816E-13</v>
      </c>
    </row>
    <row r="58" spans="1:20" s="31" customFormat="1" x14ac:dyDescent="0.2">
      <c r="A58" s="41" t="s">
        <v>56</v>
      </c>
      <c r="B58" s="37">
        <f>0</f>
        <v>0</v>
      </c>
      <c r="C58" s="37">
        <f>0</f>
        <v>0</v>
      </c>
      <c r="D58" s="37">
        <f>0</f>
        <v>0</v>
      </c>
      <c r="E58" s="37">
        <f>0</f>
        <v>0</v>
      </c>
      <c r="F58" s="37">
        <f>Ye</f>
        <v>45</v>
      </c>
      <c r="G58" s="37">
        <f>-Xe</f>
        <v>-698.55207393579474</v>
      </c>
      <c r="H58" s="37">
        <f>-Yj</f>
        <v>-22.5</v>
      </c>
      <c r="I58" s="37">
        <f>Xj</f>
        <v>349.27603696789737</v>
      </c>
      <c r="J58" s="37">
        <f>0</f>
        <v>0</v>
      </c>
      <c r="K58" s="37">
        <f>0</f>
        <v>0</v>
      </c>
      <c r="L58" s="37">
        <f>0</f>
        <v>0</v>
      </c>
      <c r="M58" s="37">
        <f>0</f>
        <v>0</v>
      </c>
      <c r="N58" s="50">
        <f>-Xj*Pb3_</f>
        <v>34927.603696789738</v>
      </c>
      <c r="P58" s="51">
        <f t="array" ref="P58">SUMPRODUCT($C$26:$C$37,TRANSPOSE(B58:M58))-N58</f>
        <v>5.8207660913467407E-11</v>
      </c>
    </row>
    <row r="59" spans="1:20" s="31" customFormat="1" x14ac:dyDescent="0.2">
      <c r="A59" s="41" t="s">
        <v>57</v>
      </c>
      <c r="B59" s="37">
        <f>-1</f>
        <v>-1</v>
      </c>
      <c r="C59" s="37">
        <f>0</f>
        <v>0</v>
      </c>
      <c r="D59" s="37">
        <f>0</f>
        <v>0</v>
      </c>
      <c r="E59" s="37">
        <f>0</f>
        <v>0</v>
      </c>
      <c r="F59" s="37">
        <f>0</f>
        <v>0</v>
      </c>
      <c r="G59" s="37">
        <f>0</f>
        <v>0</v>
      </c>
      <c r="H59" s="37">
        <f>-1</f>
        <v>-1</v>
      </c>
      <c r="I59" s="37">
        <f>0</f>
        <v>0</v>
      </c>
      <c r="J59" s="37">
        <f>1</f>
        <v>1</v>
      </c>
      <c r="K59" s="37">
        <f>0</f>
        <v>0</v>
      </c>
      <c r="L59" s="37">
        <f>0</f>
        <v>0</v>
      </c>
      <c r="M59" s="37">
        <f>0</f>
        <v>0</v>
      </c>
      <c r="N59" s="50">
        <f>0</f>
        <v>0</v>
      </c>
      <c r="P59" s="51">
        <f t="array" ref="P59">SUMPRODUCT($C$26:$C$37,TRANSPOSE(B59:M59))-N59</f>
        <v>0</v>
      </c>
    </row>
    <row r="60" spans="1:20" s="31" customFormat="1" x14ac:dyDescent="0.2">
      <c r="A60" s="41" t="s">
        <v>58</v>
      </c>
      <c r="B60" s="37">
        <f>0</f>
        <v>0</v>
      </c>
      <c r="C60" s="37">
        <f>-1</f>
        <v>-1</v>
      </c>
      <c r="D60" s="37">
        <f>0</f>
        <v>0</v>
      </c>
      <c r="E60" s="37">
        <f>0</f>
        <v>0</v>
      </c>
      <c r="F60" s="37">
        <f>0</f>
        <v>0</v>
      </c>
      <c r="G60" s="37">
        <f>0</f>
        <v>0</v>
      </c>
      <c r="H60" s="37">
        <f>0</f>
        <v>0</v>
      </c>
      <c r="I60" s="37">
        <f>-1</f>
        <v>-1</v>
      </c>
      <c r="J60" s="37">
        <f>0</f>
        <v>0</v>
      </c>
      <c r="K60" s="37">
        <f>1</f>
        <v>1</v>
      </c>
      <c r="L60" s="37">
        <f>0</f>
        <v>0</v>
      </c>
      <c r="M60" s="37">
        <f>0</f>
        <v>0</v>
      </c>
      <c r="N60" s="50">
        <f>-Pb4_</f>
        <v>100</v>
      </c>
      <c r="P60" s="51">
        <f t="array" ref="P60">SUMPRODUCT($C$26:$C$37,TRANSPOSE(B60:M60))-N60</f>
        <v>-7.9580786405131221E-13</v>
      </c>
    </row>
    <row r="61" spans="1:20" s="31" customFormat="1" x14ac:dyDescent="0.2">
      <c r="A61" s="41" t="s">
        <v>59</v>
      </c>
      <c r="B61" s="37">
        <f>Yf</f>
        <v>45</v>
      </c>
      <c r="C61" s="37">
        <f>0</f>
        <v>0</v>
      </c>
      <c r="D61" s="37">
        <f>0</f>
        <v>0</v>
      </c>
      <c r="E61" s="37">
        <f>0</f>
        <v>0</v>
      </c>
      <c r="F61" s="37">
        <f>0</f>
        <v>0</v>
      </c>
      <c r="G61" s="37">
        <f>0</f>
        <v>0</v>
      </c>
      <c r="H61" s="37">
        <f>Yj</f>
        <v>22.5</v>
      </c>
      <c r="I61" s="37">
        <f>-Xj</f>
        <v>-349.27603696789737</v>
      </c>
      <c r="J61" s="37">
        <f>0</f>
        <v>0</v>
      </c>
      <c r="K61" s="37">
        <f>Xb</f>
        <v>698.55207393579474</v>
      </c>
      <c r="L61" s="37">
        <f>0</f>
        <v>0</v>
      </c>
      <c r="M61" s="37">
        <f>0</f>
        <v>0</v>
      </c>
      <c r="N61" s="50">
        <f>-Xj*Pb4_</f>
        <v>34927.603696789738</v>
      </c>
      <c r="P61" s="51">
        <f t="array" ref="P61">SUMPRODUCT($C$26:$C$37,TRANSPOSE(B61:M61))-N61</f>
        <v>-1.1641532182693481E-10</v>
      </c>
    </row>
    <row r="62" spans="1:20" s="10" customFormat="1" x14ac:dyDescent="0.2">
      <c r="A62" s="4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84"/>
    </row>
    <row r="63" spans="1:20" s="10" customFormat="1" x14ac:dyDescent="0.2">
      <c r="A63" s="4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84"/>
    </row>
    <row r="64" spans="1:20" s="10" customFormat="1" x14ac:dyDescent="0.2">
      <c r="A64" s="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9"/>
      <c r="N64" s="9"/>
      <c r="O64" s="9"/>
      <c r="P64" s="9"/>
      <c r="Q64" s="9"/>
      <c r="R64" s="9"/>
      <c r="S64" s="9"/>
      <c r="T64" s="9"/>
    </row>
    <row r="65" spans="1:21" s="10" customFormat="1" x14ac:dyDescent="0.2">
      <c r="A65" s="8"/>
      <c r="B65" s="11"/>
      <c r="C65" s="11"/>
      <c r="D65" s="11"/>
      <c r="E65" s="11"/>
      <c r="F65" s="11"/>
      <c r="G65" s="11"/>
      <c r="H65" s="11"/>
      <c r="I65" s="11"/>
      <c r="J65" s="11"/>
      <c r="K65" s="9"/>
      <c r="L65" s="9"/>
      <c r="M65" s="9"/>
      <c r="N65" s="9"/>
      <c r="O65" s="9"/>
      <c r="P65" s="9"/>
      <c r="Q65" s="9"/>
      <c r="R65" s="9"/>
    </row>
    <row r="66" spans="1:21" s="10" customFormat="1" ht="21" customHeight="1" x14ac:dyDescent="0.2">
      <c r="A66" s="8"/>
      <c r="B66" s="56" t="s">
        <v>27</v>
      </c>
      <c r="C66" s="56"/>
      <c r="D66" s="56"/>
      <c r="E66" s="56"/>
      <c r="F66" s="56"/>
      <c r="G66" s="56"/>
      <c r="H66" s="56"/>
      <c r="I66" s="57"/>
      <c r="J66" s="89" t="s">
        <v>87</v>
      </c>
      <c r="K66" s="89"/>
      <c r="L66" s="130" t="s">
        <v>68</v>
      </c>
      <c r="M66" s="130"/>
      <c r="N66" s="130"/>
      <c r="O66" s="130"/>
      <c r="P66" s="130"/>
      <c r="Q66" s="130"/>
      <c r="R66" s="9"/>
      <c r="S66" s="9"/>
      <c r="T66" s="9"/>
    </row>
    <row r="67" spans="1:21" s="10" customFormat="1" x14ac:dyDescent="0.2">
      <c r="A67" s="8"/>
      <c r="B67" s="22" t="s">
        <v>13</v>
      </c>
      <c r="C67" s="22" t="s">
        <v>10</v>
      </c>
      <c r="D67" s="22" t="s">
        <v>8</v>
      </c>
      <c r="E67" s="22" t="s">
        <v>11</v>
      </c>
      <c r="F67" s="22" t="s">
        <v>16</v>
      </c>
      <c r="G67" s="22" t="s">
        <v>24</v>
      </c>
      <c r="H67" s="22" t="s">
        <v>22</v>
      </c>
      <c r="I67" s="82"/>
      <c r="J67" s="22" t="s">
        <v>85</v>
      </c>
      <c r="K67" s="97"/>
      <c r="L67" s="22" t="s">
        <v>88</v>
      </c>
      <c r="M67" s="22" t="s">
        <v>89</v>
      </c>
      <c r="N67" s="22" t="s">
        <v>18</v>
      </c>
      <c r="O67" s="22" t="s">
        <v>19</v>
      </c>
      <c r="P67" s="22" t="s">
        <v>20</v>
      </c>
      <c r="Q67" s="22" t="s">
        <v>21</v>
      </c>
      <c r="R67" s="9"/>
    </row>
    <row r="68" spans="1:21" s="10" customFormat="1" x14ac:dyDescent="0.2">
      <c r="A68" s="8"/>
      <c r="B68" s="24">
        <v>0</v>
      </c>
      <c r="C68" s="24">
        <f>AB*COS(alpha)</f>
        <v>698.55207393579474</v>
      </c>
      <c r="D68" s="24">
        <f>Xe/2</f>
        <v>349.27603696789737</v>
      </c>
      <c r="E68" s="24">
        <f>Xk</f>
        <v>349.27603696789737</v>
      </c>
      <c r="F68" s="24">
        <f>Xe</f>
        <v>698.55207393579474</v>
      </c>
      <c r="G68" s="24">
        <v>0</v>
      </c>
      <c r="H68" s="24">
        <f>Xe</f>
        <v>698.55207393579474</v>
      </c>
      <c r="I68" s="52"/>
      <c r="J68" s="27" t="s">
        <v>86</v>
      </c>
      <c r="K68" s="98"/>
      <c r="L68" s="27" t="s">
        <v>31</v>
      </c>
      <c r="M68" s="27" t="s">
        <v>31</v>
      </c>
      <c r="N68" s="27" t="s">
        <v>31</v>
      </c>
      <c r="O68" s="27" t="s">
        <v>31</v>
      </c>
      <c r="P68" s="27" t="s">
        <v>31</v>
      </c>
      <c r="Q68" s="27" t="s">
        <v>31</v>
      </c>
      <c r="R68" s="9"/>
    </row>
    <row r="69" spans="1:21" s="10" customFormat="1" x14ac:dyDescent="0.2">
      <c r="A69" s="8"/>
      <c r="B69" s="25"/>
      <c r="C69" s="25"/>
      <c r="D69" s="25"/>
      <c r="E69" s="25"/>
      <c r="F69" s="25"/>
      <c r="G69" s="25"/>
      <c r="H69" s="25"/>
      <c r="I69" s="25"/>
      <c r="J69" s="62">
        <v>10</v>
      </c>
      <c r="K69" s="99"/>
      <c r="L69" s="62">
        <f>-Mt*g</f>
        <v>-150</v>
      </c>
      <c r="M69" s="62">
        <f>-Mc*g</f>
        <v>-1000</v>
      </c>
      <c r="N69" s="62">
        <f>-Mb1_*g</f>
        <v>-100</v>
      </c>
      <c r="O69" s="62">
        <f>-Mb2_*g</f>
        <v>-100</v>
      </c>
      <c r="P69" s="62">
        <f>-Mb3_*g</f>
        <v>-100</v>
      </c>
      <c r="Q69" s="62">
        <f>-Mb4_*g</f>
        <v>-100</v>
      </c>
      <c r="R69" s="9"/>
    </row>
    <row r="70" spans="1:21" s="10" customFormat="1" x14ac:dyDescent="0.2">
      <c r="A70" s="8"/>
      <c r="B70" s="26" t="s">
        <v>14</v>
      </c>
      <c r="C70" s="26" t="s">
        <v>12</v>
      </c>
      <c r="D70" s="26" t="s">
        <v>9</v>
      </c>
      <c r="E70" s="26" t="s">
        <v>15</v>
      </c>
      <c r="F70" s="26" t="s">
        <v>17</v>
      </c>
      <c r="G70" s="26" t="s">
        <v>25</v>
      </c>
      <c r="H70" s="26" t="s">
        <v>23</v>
      </c>
      <c r="I70" s="9"/>
      <c r="J70" s="9"/>
      <c r="K70" s="9"/>
      <c r="L70" s="9"/>
      <c r="M70" s="9"/>
      <c r="N70" s="9"/>
      <c r="O70" s="9"/>
      <c r="P70" s="9"/>
    </row>
    <row r="71" spans="1:21" s="10" customFormat="1" x14ac:dyDescent="0.2">
      <c r="A71" s="8"/>
      <c r="B71" s="24">
        <f>AH/2</f>
        <v>45</v>
      </c>
      <c r="C71" s="24">
        <f>Yf</f>
        <v>45</v>
      </c>
      <c r="D71" s="24">
        <f>3*AH/4</f>
        <v>67.5</v>
      </c>
      <c r="E71" s="24">
        <f>AH/4</f>
        <v>22.5</v>
      </c>
      <c r="F71" s="24">
        <v>0</v>
      </c>
      <c r="G71" s="24">
        <f>AH</f>
        <v>90</v>
      </c>
      <c r="H71" s="24">
        <f>AH</f>
        <v>90</v>
      </c>
      <c r="I71" s="9"/>
      <c r="J71" s="139" t="s">
        <v>97</v>
      </c>
      <c r="K71" s="139"/>
      <c r="L71" s="139"/>
      <c r="M71" s="139"/>
      <c r="N71" s="139"/>
      <c r="O71" s="139"/>
      <c r="P71" s="9"/>
    </row>
    <row r="72" spans="1:21" s="10" customFormat="1" x14ac:dyDescent="0.2">
      <c r="A72" s="8"/>
      <c r="B72" s="11"/>
      <c r="C72" s="11"/>
      <c r="D72" s="11"/>
      <c r="E72" s="11"/>
      <c r="F72" s="11"/>
      <c r="G72" s="11"/>
      <c r="H72" s="11"/>
      <c r="I72" s="11"/>
      <c r="J72" s="22" t="s">
        <v>95</v>
      </c>
      <c r="K72" s="22" t="s">
        <v>96</v>
      </c>
      <c r="L72" s="22" t="s">
        <v>47</v>
      </c>
      <c r="M72" s="22" t="s">
        <v>46</v>
      </c>
      <c r="N72" s="85" t="s">
        <v>100</v>
      </c>
      <c r="O72" s="85" t="s">
        <v>101</v>
      </c>
      <c r="P72" s="22" t="s">
        <v>65</v>
      </c>
      <c r="Q72" s="22" t="s">
        <v>66</v>
      </c>
    </row>
    <row r="73" spans="1:21" s="10" customFormat="1" x14ac:dyDescent="0.2">
      <c r="A73" s="8"/>
      <c r="B73" s="9"/>
      <c r="C73" s="9"/>
      <c r="D73" s="9"/>
      <c r="E73" s="9"/>
      <c r="F73" s="9"/>
      <c r="G73" s="9"/>
      <c r="H73" s="9"/>
      <c r="I73" s="9"/>
      <c r="J73" s="27" t="s">
        <v>31</v>
      </c>
      <c r="K73" s="27" t="s">
        <v>31</v>
      </c>
      <c r="L73" s="27" t="s">
        <v>31</v>
      </c>
      <c r="M73" s="27" t="s">
        <v>31</v>
      </c>
      <c r="N73" s="86" t="s">
        <v>31</v>
      </c>
      <c r="O73" s="86" t="s">
        <v>31</v>
      </c>
      <c r="P73" s="27" t="s">
        <v>31</v>
      </c>
      <c r="Q73" s="27" t="s">
        <v>31</v>
      </c>
      <c r="R73" s="9"/>
      <c r="S73" s="9"/>
      <c r="T73" s="9"/>
    </row>
    <row r="74" spans="1:21" s="10" customFormat="1" x14ac:dyDescent="0.2">
      <c r="A74" s="8"/>
      <c r="B74" s="9"/>
      <c r="C74" s="9"/>
      <c r="D74" s="9"/>
      <c r="E74" s="9"/>
      <c r="F74" s="9"/>
      <c r="G74" s="9"/>
      <c r="H74" s="9"/>
      <c r="I74" s="9"/>
      <c r="J74" s="83">
        <f>-(XGt*Pt+XGc*Pc)/Xg</f>
        <v>218.30870695262809</v>
      </c>
      <c r="K74" s="83">
        <f>-Rg-Pt-Pc</f>
        <v>931.69129304737191</v>
      </c>
      <c r="L74" s="83">
        <f>-Rg</f>
        <v>-218.30870695262809</v>
      </c>
      <c r="M74" s="83">
        <f>-Rh</f>
        <v>-931.69129304737191</v>
      </c>
      <c r="N74" s="87">
        <f>Rg</f>
        <v>218.30870695262809</v>
      </c>
      <c r="O74" s="87">
        <f>Rh</f>
        <v>931.69129304737191</v>
      </c>
      <c r="P74" s="83"/>
      <c r="Q74" s="83"/>
      <c r="R74" s="9"/>
      <c r="S74" s="9"/>
      <c r="T74" s="9"/>
    </row>
    <row r="75" spans="1:21" s="10" customFormat="1" x14ac:dyDescent="0.2">
      <c r="A75" s="8"/>
      <c r="B75" s="138" t="s">
        <v>45</v>
      </c>
      <c r="C75" s="138"/>
      <c r="D75" s="9"/>
      <c r="E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</row>
    <row r="76" spans="1:21" s="10" customFormat="1" x14ac:dyDescent="0.2">
      <c r="A76" s="8"/>
      <c r="B76" s="34" t="s">
        <v>32</v>
      </c>
      <c r="C76" s="27" t="s">
        <v>33</v>
      </c>
      <c r="D76" s="9"/>
      <c r="E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</row>
    <row r="77" spans="1:21" s="10" customFormat="1" x14ac:dyDescent="0.2">
      <c r="A77" s="8"/>
      <c r="B77" s="35">
        <f>ASIN(AH/2/AB)</f>
        <v>6.4330075258818606E-2</v>
      </c>
      <c r="C77" s="36">
        <f>DEGREES(B77)</f>
        <v>3.685841808089263</v>
      </c>
      <c r="D77" s="9"/>
      <c r="E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</row>
    <row r="78" spans="1:21" s="10" customFormat="1" x14ac:dyDescent="0.2">
      <c r="A78" s="8"/>
      <c r="B78" s="29"/>
      <c r="C78" s="9"/>
      <c r="D78" s="9"/>
      <c r="E78" s="9"/>
      <c r="F78" s="9"/>
      <c r="G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</row>
    <row r="79" spans="1:21" s="10" customFormat="1" x14ac:dyDescent="0.2">
      <c r="A79" s="8"/>
      <c r="B79" s="29"/>
      <c r="C79" s="9"/>
      <c r="D79" s="9"/>
      <c r="E79" s="9"/>
      <c r="F79" s="9"/>
      <c r="G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</row>
    <row r="80" spans="1:21" s="10" customFormat="1" x14ac:dyDescent="0.2">
      <c r="A80" s="8"/>
      <c r="B80" s="29"/>
      <c r="C80" s="9"/>
      <c r="D80" s="9"/>
      <c r="F80" s="139" t="s">
        <v>61</v>
      </c>
      <c r="G80" s="139"/>
      <c r="H80" s="139"/>
      <c r="I80" s="139"/>
      <c r="J80" s="139"/>
      <c r="K80" s="139"/>
      <c r="L80" s="139"/>
      <c r="M80" s="48" t="s">
        <v>63</v>
      </c>
      <c r="N80" s="9"/>
      <c r="O80" s="9"/>
      <c r="P80" s="9"/>
      <c r="Q80" s="9"/>
      <c r="R80" s="9"/>
      <c r="S80" s="9"/>
      <c r="T80" s="9"/>
      <c r="U80" s="9"/>
    </row>
    <row r="81" spans="1:21" s="10" customFormat="1" x14ac:dyDescent="0.2">
      <c r="A81" s="8"/>
      <c r="B81" s="33"/>
      <c r="C81" s="137" t="s">
        <v>43</v>
      </c>
      <c r="D81" s="137"/>
      <c r="E81" s="38"/>
      <c r="F81" s="39" t="s">
        <v>48</v>
      </c>
      <c r="G81" s="40" t="s">
        <v>102</v>
      </c>
      <c r="H81" s="38"/>
      <c r="K81" s="9"/>
      <c r="L81" s="9"/>
      <c r="M81" s="49">
        <f>XFk+XRf</f>
        <v>0</v>
      </c>
      <c r="N81" s="9"/>
      <c r="O81" s="9"/>
      <c r="P81" s="9"/>
      <c r="Q81" s="9"/>
      <c r="R81" s="9"/>
      <c r="S81" s="9"/>
      <c r="T81" s="9"/>
      <c r="U81" s="9"/>
    </row>
    <row r="82" spans="1:21" s="10" customFormat="1" x14ac:dyDescent="0.2">
      <c r="A82" s="8"/>
      <c r="B82" s="34" t="s">
        <v>34</v>
      </c>
      <c r="C82" s="27" t="s">
        <v>41</v>
      </c>
      <c r="D82" s="27" t="s">
        <v>42</v>
      </c>
      <c r="E82" s="38"/>
      <c r="F82" s="39" t="s">
        <v>49</v>
      </c>
      <c r="G82" s="40" t="s">
        <v>103</v>
      </c>
      <c r="H82" s="38"/>
      <c r="K82" s="9"/>
      <c r="L82" s="9"/>
      <c r="M82" s="49">
        <f>Fg+YFk+Pb1_+YRf</f>
        <v>0</v>
      </c>
      <c r="N82" s="9"/>
      <c r="O82" s="9"/>
      <c r="P82" s="9"/>
      <c r="Q82" s="9"/>
      <c r="R82" s="9"/>
      <c r="S82" s="9"/>
      <c r="T82" s="9"/>
      <c r="U82" s="9"/>
    </row>
    <row r="83" spans="1:21" s="10" customFormat="1" x14ac:dyDescent="0.2">
      <c r="A83" s="8"/>
      <c r="B83" s="34" t="s">
        <v>38</v>
      </c>
      <c r="C83" s="27">
        <f>Xh</f>
        <v>0</v>
      </c>
      <c r="D83" s="27">
        <f>Yh</f>
        <v>90</v>
      </c>
      <c r="E83" s="38"/>
      <c r="F83" s="39" t="s">
        <v>50</v>
      </c>
      <c r="G83" s="40" t="s">
        <v>104</v>
      </c>
      <c r="H83" s="38"/>
      <c r="K83" s="9"/>
      <c r="L83" s="9"/>
      <c r="M83" s="49">
        <f>Xg*Fg+Xk*YFk-Yk*XFk+Xk*Pb1_-Yf*XRf</f>
        <v>0</v>
      </c>
      <c r="N83" s="9"/>
      <c r="O83" s="9"/>
      <c r="P83" s="9"/>
      <c r="Q83" s="9"/>
      <c r="R83" s="9"/>
      <c r="S83" s="9"/>
      <c r="T83" s="9"/>
      <c r="U83" s="9"/>
    </row>
    <row r="84" spans="1:21" s="10" customFormat="1" x14ac:dyDescent="0.2">
      <c r="A84" s="8"/>
      <c r="B84" s="34" t="s">
        <v>39</v>
      </c>
      <c r="C84" s="27">
        <f>Xe</f>
        <v>698.55207393579474</v>
      </c>
      <c r="D84" s="27">
        <f>Ye</f>
        <v>45</v>
      </c>
      <c r="E84" s="38"/>
      <c r="F84" s="39" t="s">
        <v>51</v>
      </c>
      <c r="G84" s="40" t="s">
        <v>104</v>
      </c>
      <c r="H84" s="38"/>
      <c r="K84" s="9"/>
      <c r="L84" s="9"/>
      <c r="M84" s="49">
        <f>-XFk+XRe</f>
        <v>0</v>
      </c>
      <c r="N84" s="9"/>
      <c r="O84" s="9"/>
      <c r="P84" s="9"/>
      <c r="Q84" s="9"/>
      <c r="R84" s="9"/>
      <c r="S84" s="9"/>
      <c r="T84" s="9"/>
      <c r="U84" s="9"/>
    </row>
    <row r="85" spans="1:21" s="10" customFormat="1" x14ac:dyDescent="0.2">
      <c r="A85" s="8"/>
      <c r="B85" s="58" t="s">
        <v>40</v>
      </c>
      <c r="C85" s="59">
        <v>0</v>
      </c>
      <c r="D85" s="59">
        <v>0</v>
      </c>
      <c r="E85" s="38"/>
      <c r="F85" s="39" t="s">
        <v>52</v>
      </c>
      <c r="G85" s="40" t="s">
        <v>105</v>
      </c>
      <c r="H85" s="38"/>
      <c r="K85" s="9"/>
      <c r="L85" s="9"/>
      <c r="M85" s="49">
        <f>Fh+Pb2_-YFk+YRe</f>
        <v>0</v>
      </c>
      <c r="N85" s="9"/>
      <c r="O85" s="9"/>
      <c r="P85" s="9"/>
      <c r="Q85" s="9"/>
      <c r="R85" s="9"/>
      <c r="S85" s="9"/>
      <c r="T85" s="9"/>
      <c r="U85" s="9"/>
    </row>
    <row r="86" spans="1:21" s="10" customFormat="1" x14ac:dyDescent="0.2">
      <c r="A86" s="8"/>
      <c r="B86" s="34" t="s">
        <v>35</v>
      </c>
      <c r="C86" s="27">
        <f>Xb</f>
        <v>698.55207393579474</v>
      </c>
      <c r="D86" s="27">
        <f>Yb</f>
        <v>0</v>
      </c>
      <c r="E86" s="38"/>
      <c r="F86" s="39" t="s">
        <v>53</v>
      </c>
      <c r="G86" s="40" t="s">
        <v>106</v>
      </c>
      <c r="H86" s="38"/>
      <c r="K86" s="9"/>
      <c r="L86" s="9"/>
      <c r="M86" s="49">
        <f>-Xk*YFk+Yk*XFk+Xk*Pb2_+Xe*YRe-Ye*XRe</f>
        <v>0</v>
      </c>
      <c r="N86" s="9"/>
      <c r="O86" s="9"/>
      <c r="P86" s="9"/>
      <c r="Q86" s="9"/>
      <c r="R86" s="9"/>
      <c r="S86" s="9"/>
      <c r="T86" s="9"/>
      <c r="U86" s="9"/>
    </row>
    <row r="87" spans="1:21" s="10" customFormat="1" x14ac:dyDescent="0.2">
      <c r="A87" s="8"/>
      <c r="B87" s="34" t="s">
        <v>36</v>
      </c>
      <c r="C87" s="27">
        <f>Xf</f>
        <v>0</v>
      </c>
      <c r="D87" s="27">
        <f>Yf</f>
        <v>45</v>
      </c>
      <c r="E87" s="38"/>
      <c r="F87" s="39" t="s">
        <v>54</v>
      </c>
      <c r="G87" s="40" t="s">
        <v>106</v>
      </c>
      <c r="H87" s="38"/>
      <c r="K87" s="9"/>
      <c r="L87" s="9"/>
      <c r="M87" s="49">
        <f>XRd+XFj-XRe</f>
        <v>0</v>
      </c>
      <c r="N87" s="9"/>
      <c r="O87" s="9"/>
      <c r="P87" s="9"/>
      <c r="Q87" s="9"/>
      <c r="R87" s="9"/>
      <c r="S87" s="9"/>
      <c r="T87" s="9"/>
      <c r="U87" s="9"/>
    </row>
    <row r="88" spans="1:21" s="10" customFormat="1" x14ac:dyDescent="0.2">
      <c r="A88" s="8"/>
      <c r="B88" s="34" t="s">
        <v>37</v>
      </c>
      <c r="C88" s="27">
        <f>Xg</f>
        <v>698.55207393579474</v>
      </c>
      <c r="D88" s="27">
        <f>Yg</f>
        <v>90</v>
      </c>
      <c r="E88" s="38"/>
      <c r="F88" s="39" t="s">
        <v>55</v>
      </c>
      <c r="G88" s="40" t="s">
        <v>107</v>
      </c>
      <c r="H88" s="38"/>
      <c r="K88" s="9"/>
      <c r="L88" s="9"/>
      <c r="M88" s="49">
        <f>YRd-YFj+Pb3_-YRe</f>
        <v>6.2527760746888816E-13</v>
      </c>
      <c r="N88" s="9"/>
      <c r="O88" s="9"/>
      <c r="P88" s="9"/>
      <c r="Q88" s="9"/>
      <c r="R88" s="9"/>
      <c r="S88" s="9"/>
      <c r="T88" s="9"/>
      <c r="U88" s="9"/>
    </row>
    <row r="89" spans="1:21" s="10" customFormat="1" x14ac:dyDescent="0.2">
      <c r="A89" s="8"/>
      <c r="B89" s="60"/>
      <c r="C89" s="60"/>
      <c r="D89" s="60"/>
      <c r="E89" s="38"/>
      <c r="F89" s="39" t="s">
        <v>56</v>
      </c>
      <c r="G89" s="40" t="s">
        <v>108</v>
      </c>
      <c r="H89" s="38"/>
      <c r="K89" s="9"/>
      <c r="L89" s="9"/>
      <c r="M89" s="49">
        <f>Xj*YFj-Yj*XFj+Xj*Pb3_-Xe*YRe+Ye*XRe</f>
        <v>0</v>
      </c>
      <c r="N89" s="9"/>
      <c r="O89" s="9"/>
      <c r="P89" s="9"/>
      <c r="Q89" s="9"/>
      <c r="R89" s="9"/>
      <c r="S89" s="9"/>
      <c r="T89" s="9"/>
      <c r="U89" s="9"/>
    </row>
    <row r="90" spans="1:21" s="10" customFormat="1" x14ac:dyDescent="0.2">
      <c r="A90" s="8"/>
      <c r="B90" s="131" t="s">
        <v>67</v>
      </c>
      <c r="C90" s="61">
        <f>C83</f>
        <v>0</v>
      </c>
      <c r="D90" s="61">
        <f>D83</f>
        <v>90</v>
      </c>
      <c r="E90" s="38"/>
      <c r="F90" s="39" t="s">
        <v>57</v>
      </c>
      <c r="G90" s="40" t="s">
        <v>109</v>
      </c>
      <c r="H90" s="38"/>
      <c r="K90" s="9"/>
      <c r="L90" s="9"/>
      <c r="M90" s="49">
        <f>-XRf-XFj+XRb</f>
        <v>0</v>
      </c>
      <c r="N90" s="9"/>
      <c r="O90" s="9"/>
      <c r="P90" s="9"/>
      <c r="Q90" s="9"/>
      <c r="R90" s="9"/>
      <c r="S90" s="9"/>
      <c r="T90" s="9"/>
      <c r="U90" s="9"/>
    </row>
    <row r="91" spans="1:21" s="10" customFormat="1" x14ac:dyDescent="0.2">
      <c r="A91" s="8"/>
      <c r="B91" s="132"/>
      <c r="C91" s="36">
        <f>1100</f>
        <v>1100</v>
      </c>
      <c r="D91" s="36">
        <f>D90</f>
        <v>90</v>
      </c>
      <c r="E91" s="38"/>
      <c r="F91" s="39" t="s">
        <v>58</v>
      </c>
      <c r="G91" s="40" t="s">
        <v>110</v>
      </c>
      <c r="H91" s="38"/>
      <c r="K91" s="9"/>
      <c r="L91" s="9"/>
      <c r="M91" s="49">
        <f>-YRf+Pb4_-YFj+YRb</f>
        <v>-7.9580786405131221E-13</v>
      </c>
      <c r="N91" s="9"/>
      <c r="O91" s="9"/>
      <c r="P91" s="9"/>
      <c r="Q91" s="9"/>
      <c r="R91" s="9"/>
      <c r="S91" s="9"/>
      <c r="T91" s="9"/>
      <c r="U91" s="9"/>
    </row>
    <row r="92" spans="1:21" s="10" customFormat="1" x14ac:dyDescent="0.2">
      <c r="A92" s="8"/>
      <c r="E92" s="38"/>
      <c r="F92" s="39" t="s">
        <v>59</v>
      </c>
      <c r="G92" s="40" t="s">
        <v>111</v>
      </c>
      <c r="H92" s="38"/>
      <c r="K92" s="9"/>
      <c r="L92" s="9"/>
      <c r="M92" s="49">
        <f>Yf*XRf+Xj*Pb4_-Xj*YFj+Yj*XFj+Xb*YRb</f>
        <v>0</v>
      </c>
      <c r="N92" s="9"/>
      <c r="O92" s="9"/>
      <c r="P92" s="9"/>
      <c r="Q92" s="9"/>
      <c r="R92" s="9"/>
      <c r="S92" s="9"/>
      <c r="T92" s="9"/>
      <c r="U92" s="9"/>
    </row>
    <row r="93" spans="1:21" s="10" customFormat="1" x14ac:dyDescent="0.2">
      <c r="A93" s="8"/>
      <c r="B93" s="100" t="s">
        <v>126</v>
      </c>
      <c r="C93" s="61">
        <f>XGc</f>
        <v>100</v>
      </c>
      <c r="D93" s="61">
        <f>D83+100</f>
        <v>190</v>
      </c>
      <c r="E93" s="38"/>
      <c r="F93" s="39"/>
      <c r="G93" s="40"/>
      <c r="H93" s="38"/>
      <c r="K93" s="9"/>
      <c r="L93" s="9"/>
      <c r="M93" s="49"/>
      <c r="N93" s="9"/>
      <c r="O93" s="9"/>
      <c r="P93" s="9"/>
      <c r="Q93" s="9"/>
      <c r="R93" s="9"/>
      <c r="S93" s="9"/>
      <c r="T93" s="9"/>
      <c r="U93" s="9"/>
    </row>
    <row r="94" spans="1:21" s="10" customFormat="1" x14ac:dyDescent="0.2">
      <c r="B94" s="101" t="s">
        <v>127</v>
      </c>
      <c r="C94" s="36">
        <f>XGt</f>
        <v>350</v>
      </c>
      <c r="D94" s="36">
        <f>D83</f>
        <v>90</v>
      </c>
      <c r="F94" s="43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</row>
    <row r="95" spans="1:21" s="10" customFormat="1" x14ac:dyDescent="0.2">
      <c r="A95" s="8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</row>
    <row r="96" spans="1:21" s="10" customFormat="1" x14ac:dyDescent="0.2">
      <c r="A96" s="8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</row>
    <row r="97" spans="1:21" s="10" customFormat="1" x14ac:dyDescent="0.2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</row>
    <row r="98" spans="1:21" s="10" customFormat="1" x14ac:dyDescent="0.2">
      <c r="A98" s="8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</row>
    <row r="99" spans="1:21" s="10" customFormat="1" x14ac:dyDescent="0.2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</row>
    <row r="100" spans="1:21" s="10" customFormat="1" x14ac:dyDescent="0.2">
      <c r="A100" s="8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</row>
    <row r="101" spans="1:21" s="10" customFormat="1" x14ac:dyDescent="0.2">
      <c r="A101" s="8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</row>
    <row r="102" spans="1:21" s="10" customFormat="1" x14ac:dyDescent="0.2">
      <c r="A102" s="8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</row>
    <row r="103" spans="1:21" s="10" customFormat="1" x14ac:dyDescent="0.2">
      <c r="A103" s="8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</row>
    <row r="104" spans="1:21" s="10" customFormat="1" x14ac:dyDescent="0.2">
      <c r="A104" s="8"/>
      <c r="B104" s="9"/>
      <c r="C104" s="9"/>
      <c r="D104" s="9"/>
      <c r="E104" s="2"/>
      <c r="F104" s="2"/>
      <c r="G104" s="2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</row>
    <row r="105" spans="1:21" s="10" customFormat="1" x14ac:dyDescent="0.2">
      <c r="A105" s="8"/>
      <c r="B105" s="9"/>
      <c r="C105" s="9"/>
      <c r="D105" s="9"/>
      <c r="E105" s="2"/>
      <c r="F105" s="2"/>
      <c r="G105" s="2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</row>
    <row r="106" spans="1:21" s="10" customFormat="1" x14ac:dyDescent="0.2">
      <c r="A106" s="8"/>
      <c r="B106" s="9"/>
      <c r="C106" s="9"/>
      <c r="D106" s="9"/>
      <c r="E106" s="2"/>
      <c r="F106" s="2"/>
      <c r="G106" s="2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</row>
    <row r="107" spans="1:21" s="10" customFormat="1" x14ac:dyDescent="0.2">
      <c r="A107" s="8"/>
      <c r="B107" s="9"/>
      <c r="C107" s="9"/>
      <c r="D107" s="9"/>
      <c r="E107" s="2"/>
      <c r="F107" s="2"/>
      <c r="G107" s="2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</row>
    <row r="108" spans="1:21" s="10" customFormat="1" x14ac:dyDescent="0.2">
      <c r="A108" s="8"/>
      <c r="B108" s="9"/>
      <c r="C108" s="9"/>
      <c r="D108" s="9"/>
      <c r="E108" s="2"/>
      <c r="F108" s="2"/>
      <c r="G108" s="2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</row>
    <row r="109" spans="1:21" s="10" customFormat="1" x14ac:dyDescent="0.2">
      <c r="A109" s="8"/>
      <c r="B109" s="9"/>
      <c r="C109" s="9"/>
      <c r="D109" s="2"/>
      <c r="E109" s="2"/>
      <c r="F109" s="2"/>
      <c r="G109" s="2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</row>
    <row r="110" spans="1:21" s="10" customFormat="1" x14ac:dyDescent="0.2">
      <c r="A110" s="8"/>
      <c r="B110" s="9"/>
      <c r="C110" s="9"/>
      <c r="D110" s="2"/>
      <c r="E110" s="2"/>
      <c r="F110" s="2"/>
      <c r="G110" s="2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</row>
    <row r="111" spans="1:21" x14ac:dyDescent="0.2">
      <c r="H111" s="9"/>
      <c r="I111" s="9"/>
      <c r="J111" s="9"/>
      <c r="K111" s="9"/>
      <c r="L111" s="9"/>
      <c r="M111" s="9"/>
    </row>
    <row r="112" spans="1:21" x14ac:dyDescent="0.2">
      <c r="H112" s="9"/>
      <c r="I112" s="9"/>
      <c r="J112" s="9"/>
      <c r="K112" s="9"/>
      <c r="L112" s="9"/>
      <c r="M112" s="9"/>
    </row>
    <row r="113" spans="8:13" x14ac:dyDescent="0.2">
      <c r="H113" s="9"/>
      <c r="I113" s="9"/>
      <c r="J113" s="9"/>
      <c r="K113" s="9"/>
      <c r="L113" s="9"/>
      <c r="M113" s="9"/>
    </row>
    <row r="114" spans="8:13" x14ac:dyDescent="0.2">
      <c r="H114" s="9"/>
      <c r="I114" s="9"/>
      <c r="J114" s="9"/>
      <c r="K114" s="9"/>
      <c r="L114" s="9"/>
      <c r="M114" s="9"/>
    </row>
    <row r="115" spans="8:13" x14ac:dyDescent="0.2">
      <c r="H115" s="9"/>
      <c r="I115" s="9"/>
      <c r="J115" s="9"/>
      <c r="K115" s="9"/>
      <c r="L115" s="9"/>
      <c r="M115" s="9"/>
    </row>
    <row r="116" spans="8:13" x14ac:dyDescent="0.2">
      <c r="H116" s="9"/>
      <c r="I116" s="9"/>
      <c r="J116" s="9"/>
      <c r="K116" s="9"/>
      <c r="L116" s="9"/>
      <c r="M116" s="9"/>
    </row>
    <row r="117" spans="8:13" x14ac:dyDescent="0.2">
      <c r="H117" s="9"/>
      <c r="I117" s="9"/>
      <c r="J117" s="9"/>
      <c r="K117" s="9"/>
      <c r="L117" s="9"/>
      <c r="M117" s="9"/>
    </row>
    <row r="118" spans="8:13" x14ac:dyDescent="0.2">
      <c r="H118" s="9"/>
      <c r="I118" s="9"/>
      <c r="J118" s="9"/>
      <c r="K118" s="9"/>
      <c r="L118" s="9"/>
      <c r="M118" s="9"/>
    </row>
    <row r="119" spans="8:13" x14ac:dyDescent="0.2">
      <c r="H119" s="9"/>
      <c r="I119" s="9"/>
      <c r="J119" s="9"/>
      <c r="K119" s="9"/>
      <c r="L119" s="9"/>
      <c r="M119" s="9"/>
    </row>
  </sheetData>
  <mergeCells count="17">
    <mergeCell ref="L66:Q66"/>
    <mergeCell ref="B90:B91"/>
    <mergeCell ref="B40:D40"/>
    <mergeCell ref="I42:J42"/>
    <mergeCell ref="D10:E10"/>
    <mergeCell ref="C81:D81"/>
    <mergeCell ref="B75:C75"/>
    <mergeCell ref="J71:O71"/>
    <mergeCell ref="F80:L80"/>
    <mergeCell ref="B13:G13"/>
    <mergeCell ref="B2:E2"/>
    <mergeCell ref="B1:E1"/>
    <mergeCell ref="B25:D25"/>
    <mergeCell ref="E5:G5"/>
    <mergeCell ref="E4:H4"/>
    <mergeCell ref="H14:I16"/>
    <mergeCell ref="C5:C6"/>
  </mergeCells>
  <conditionalFormatting sqref="D3:F3 L3:N3 K2:M2">
    <cfRule type="cellIs" dxfId="1" priority="2" operator="notEqual">
      <formula>"0"</formula>
    </cfRule>
  </conditionalFormatting>
  <conditionalFormatting sqref="B50:N61">
    <cfRule type="cellIs" dxfId="0" priority="1" operator="equal">
      <formula>0</formula>
    </cfRule>
  </conditionalFormatting>
  <pageMargins left="0.7" right="0.7" top="0.75" bottom="0.75" header="0.3" footer="0.3"/>
  <pageSetup paperSize="9" orientation="portrait" horizontalDpi="0" verticalDpi="0" r:id="rId1"/>
  <ignoredErrors>
    <ignoredError sqref="N14 A50 A58:A61 A53:A57 A51 A52 F81:F92 N50" numberStoredAsText="1"/>
  </ignoredErrors>
  <drawing r:id="rId2"/>
  <legacyDrawing r:id="rId3"/>
  <controls>
    <mc:AlternateContent xmlns:mc="http://schemas.openxmlformats.org/markup-compatibility/2006">
      <mc:Choice Requires="x14">
        <control shapeId="1025" r:id="rId4" name="BarreAH">
          <controlPr defaultSize="0" autoLine="0" linkedCell="C8" r:id="rId5">
            <anchor moveWithCells="1">
              <from>
                <xdr:col>1</xdr:col>
                <xdr:colOff>685800</xdr:colOff>
                <xdr:row>9</xdr:row>
                <xdr:rowOff>9525</xdr:rowOff>
              </from>
              <to>
                <xdr:col>3</xdr:col>
                <xdr:colOff>219075</xdr:colOff>
                <xdr:row>10</xdr:row>
                <xdr:rowOff>28575</xdr:rowOff>
              </to>
            </anchor>
          </controlPr>
        </control>
      </mc:Choice>
      <mc:Fallback>
        <control shapeId="1025" r:id="rId4" name="BarreAH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"/>
  <sheetViews>
    <sheetView showGridLines="0" workbookViewId="0">
      <selection activeCell="V22" sqref="V22"/>
    </sheetView>
  </sheetViews>
  <sheetFormatPr baseColWidth="10" defaultRowHeight="12.75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51</vt:i4>
      </vt:variant>
    </vt:vector>
  </HeadingPairs>
  <TitlesOfParts>
    <vt:vector size="53" baseType="lpstr">
      <vt:lpstr>Calculs</vt:lpstr>
      <vt:lpstr>Calculs manuels</vt:lpstr>
      <vt:lpstr>AB</vt:lpstr>
      <vt:lpstr>AH</vt:lpstr>
      <vt:lpstr>alpha</vt:lpstr>
      <vt:lpstr>Fg</vt:lpstr>
      <vt:lpstr>Fh</vt:lpstr>
      <vt:lpstr>g</vt:lpstr>
      <vt:lpstr>Hmax</vt:lpstr>
      <vt:lpstr>Hmin</vt:lpstr>
      <vt:lpstr>Mb1_</vt:lpstr>
      <vt:lpstr>Mb2_</vt:lpstr>
      <vt:lpstr>Mb3_</vt:lpstr>
      <vt:lpstr>Mb4_</vt:lpstr>
      <vt:lpstr>Mc</vt:lpstr>
      <vt:lpstr>Mt</vt:lpstr>
      <vt:lpstr>Pb1_</vt:lpstr>
      <vt:lpstr>Pb2_</vt:lpstr>
      <vt:lpstr>Pb3_</vt:lpstr>
      <vt:lpstr>Pb4_</vt:lpstr>
      <vt:lpstr>Pc</vt:lpstr>
      <vt:lpstr>PlageDonnees</vt:lpstr>
      <vt:lpstr>Pt</vt:lpstr>
      <vt:lpstr>Rg</vt:lpstr>
      <vt:lpstr>Rh</vt:lpstr>
      <vt:lpstr>Xb</vt:lpstr>
      <vt:lpstr>Xe</vt:lpstr>
      <vt:lpstr>Xf</vt:lpstr>
      <vt:lpstr>XFj</vt:lpstr>
      <vt:lpstr>XFk</vt:lpstr>
      <vt:lpstr>Xg</vt:lpstr>
      <vt:lpstr>XGc</vt:lpstr>
      <vt:lpstr>XGt</vt:lpstr>
      <vt:lpstr>Xh</vt:lpstr>
      <vt:lpstr>Xj</vt:lpstr>
      <vt:lpstr>Xk</vt:lpstr>
      <vt:lpstr>XRb</vt:lpstr>
      <vt:lpstr>XRd</vt:lpstr>
      <vt:lpstr>XRe</vt:lpstr>
      <vt:lpstr>XRf</vt:lpstr>
      <vt:lpstr>Yb</vt:lpstr>
      <vt:lpstr>Ye</vt:lpstr>
      <vt:lpstr>Yf</vt:lpstr>
      <vt:lpstr>YFj</vt:lpstr>
      <vt:lpstr>YFk</vt:lpstr>
      <vt:lpstr>Yg</vt:lpstr>
      <vt:lpstr>Yh</vt:lpstr>
      <vt:lpstr>Yj</vt:lpstr>
      <vt:lpstr>Yk</vt:lpstr>
      <vt:lpstr>YRb</vt:lpstr>
      <vt:lpstr>YRd</vt:lpstr>
      <vt:lpstr>YRe</vt:lpstr>
      <vt:lpstr>YRf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Maingonnat</dc:creator>
  <cp:lastModifiedBy>Sebastien GIMAT</cp:lastModifiedBy>
  <dcterms:created xsi:type="dcterms:W3CDTF">2014-02-16T05:23:26Z</dcterms:created>
  <dcterms:modified xsi:type="dcterms:W3CDTF">2022-09-19T07:21:06Z</dcterms:modified>
</cp:coreProperties>
</file>